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855" tabRatio="883"/>
  </bookViews>
  <sheets>
    <sheet name="General Instructions" sheetId="1" r:id="rId1"/>
    <sheet name="Page 1 - FY2014-15" sheetId="2" r:id="rId2"/>
    <sheet name="Salary Schedule" sheetId="44" r:id="rId3"/>
    <sheet name="Linked Program Codes" sheetId="51" r:id="rId4"/>
    <sheet name="Staff Details" sheetId="48" r:id="rId5"/>
    <sheet name="GenFundREV" sheetId="3" r:id="rId6"/>
    <sheet name="GenFundExp" sheetId="4" r:id="rId7"/>
    <sheet name="GenFundExp2" sheetId="5" r:id="rId8"/>
    <sheet name="CharterFundRev" sheetId="43" r:id="rId9"/>
    <sheet name="CharterFundExp" sheetId="42" r:id="rId10"/>
    <sheet name="CharterFundExp2" sheetId="41" r:id="rId11"/>
    <sheet name="InsResv" sheetId="9" r:id="rId12"/>
    <sheet name="CPP Fund" sheetId="34" r:id="rId13"/>
    <sheet name="Fund 20 Grants" sheetId="52" state="hidden" r:id="rId14"/>
    <sheet name="ARRAGrants" sheetId="53" state="hidden" r:id="rId15"/>
    <sheet name="CapRes" sheetId="6" r:id="rId16"/>
    <sheet name="Fund 22 Grants" sheetId="47" r:id="rId17"/>
    <sheet name="GovGrants" sheetId="7" r:id="rId18"/>
    <sheet name="PupActiv" sheetId="8" r:id="rId19"/>
    <sheet name="FullDayKOverride" sheetId="54" r:id="rId20"/>
    <sheet name="Transp" sheetId="10" r:id="rId21"/>
    <sheet name="OthSpecRev" sheetId="11" r:id="rId22"/>
    <sheet name="BondRedm" sheetId="12" r:id="rId23"/>
    <sheet name="NonVoterDebt" sheetId="55" r:id="rId24"/>
    <sheet name="BuildFund" sheetId="13" r:id="rId25"/>
    <sheet name="SpecBuild" sheetId="14" r:id="rId26"/>
    <sheet name="CapResCapPrj" sheetId="37" r:id="rId27"/>
    <sheet name="FoodServ" sheetId="16" r:id="rId28"/>
    <sheet name="OtherEnterprise" sheetId="17" r:id="rId29"/>
    <sheet name="RiskRelated" sheetId="18" r:id="rId30"/>
    <sheet name="OtherInternal" sheetId="19" r:id="rId31"/>
    <sheet name="PupilActAgency" sheetId="20" r:id="rId32"/>
    <sheet name="Trust&amp;Agency" sheetId="21" r:id="rId33"/>
    <sheet name="Foundation Fund" sheetId="39" r:id="rId34"/>
    <sheet name="GASB 34 Perm. Fund" sheetId="36" r:id="rId35"/>
    <sheet name="Arbitrage" sheetId="22" r:id="rId36"/>
    <sheet name="District Debt" sheetId="35" r:id="rId37"/>
    <sheet name="AppropRes" sheetId="23" r:id="rId38"/>
    <sheet name="UseofBFBRes" sheetId="58" r:id="rId39"/>
    <sheet name="SupplementalBudget" sheetId="57" r:id="rId40"/>
    <sheet name="CDE-18 Error Report" sheetId="24" r:id="rId41"/>
    <sheet name="Tabor Spending Limitations" sheetId="25" r:id="rId42"/>
    <sheet name="Tabor Property Tax Limitation" sheetId="26" r:id="rId43"/>
    <sheet name="Budget Summary Worksheet" sheetId="27" r:id="rId44"/>
    <sheet name="Budget Summaries 1" sheetId="28" r:id="rId45"/>
    <sheet name="Budget Summaries 2" sheetId="29" r:id="rId46"/>
    <sheet name="Budget Summaries 3" sheetId="30" r:id="rId47"/>
    <sheet name="Budget Summaries 4" sheetId="31" r:id="rId48"/>
    <sheet name="Budget Summaries 5" sheetId="32" r:id="rId49"/>
    <sheet name="Uniform Budget Summary" sheetId="40" r:id="rId50"/>
    <sheet name="Sheet1" sheetId="56" r:id="rId51"/>
  </sheets>
  <externalReferences>
    <externalReference r:id="rId52"/>
  </externalReferences>
  <definedNames>
    <definedName name="_xlnm._FilterDatabase" localSheetId="4" hidden="1">'Staff Details'!$A$10:$AB$10</definedName>
    <definedName name="AllowFundHlook">'Linked Program Codes'!$B$6:$W$7</definedName>
    <definedName name="AllowProg">'Linked Program Codes'!$A$8:$W$53</definedName>
    <definedName name="CertBen">'Staff Details'!$AA$11:$AA$201</definedName>
    <definedName name="CertFund">'Staff Details'!$A$11:$A$201</definedName>
    <definedName name="CertGrant">'Staff Details'!$I$11:$I$201</definedName>
    <definedName name="CertObj">'Staff Details'!$G$11:$G$201</definedName>
    <definedName name="CertProg">'Staff Details'!$E$11:$E$201</definedName>
    <definedName name="CertSalary">'Staff Details'!$R$11:$R$201</definedName>
    <definedName name="ERRORRPT">#REF!</definedName>
    <definedName name="Fund22Grants" localSheetId="13">'Fund 20 Grants'!$D$3:$W$3</definedName>
    <definedName name="Fund22Grants">'Fund 22 Grants'!$D$3:$W$3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Area" localSheetId="13">'Fund 20 Grants'!$A$1:$X$118</definedName>
    <definedName name="_xlnm.Print_Area" localSheetId="16">'Fund 22 Grants'!$A$1:$X$118</definedName>
    <definedName name="_xlnm.Print_Area" localSheetId="6">GenFundExp!$A$1:$I$1111</definedName>
    <definedName name="_xlnm.Print_Titles" localSheetId="14">ARRAGrants!$1:$3</definedName>
    <definedName name="_xlnm.Print_Titles" localSheetId="15">CapRes!$1:$3</definedName>
    <definedName name="_xlnm.Print_Titles" localSheetId="26">CapResCapPrj!$1:$3</definedName>
    <definedName name="_xlnm.Print_Titles" localSheetId="12">'CPP Fund'!$1:$3</definedName>
    <definedName name="_xlnm.Print_Titles" localSheetId="19">FullDayKOverride!$1:$3</definedName>
    <definedName name="_xlnm.Print_Titles" localSheetId="6">GenFundExp!$1:$9</definedName>
    <definedName name="_xlnm.Print_Titles" localSheetId="7">GenFundExp2!$1:$8</definedName>
    <definedName name="_xlnm.Print_Titles" localSheetId="5">GenFundREV!$1:$3</definedName>
    <definedName name="_xlnm.Print_Titles" localSheetId="17">GovGrants!$1:$3</definedName>
    <definedName name="_xlnm.Print_Titles" localSheetId="21">OthSpecRev!$1:$3</definedName>
    <definedName name="_xlnm.Print_Titles" localSheetId="20">Transp!$1:$3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45621"/>
</workbook>
</file>

<file path=xl/calcChain.xml><?xml version="1.0" encoding="utf-8"?>
<calcChain xmlns="http://schemas.openxmlformats.org/spreadsheetml/2006/main">
  <c r="BI17" i="40" l="1"/>
  <c r="BI15" i="40"/>
  <c r="BI13" i="40"/>
  <c r="BI11" i="40"/>
  <c r="BI9" i="40"/>
  <c r="BI8" i="40"/>
  <c r="BI28" i="40"/>
  <c r="BI26" i="40"/>
  <c r="BI24" i="40"/>
  <c r="BI172" i="40"/>
  <c r="BI171" i="40"/>
  <c r="BI170" i="40"/>
  <c r="BI169" i="40"/>
  <c r="BI168" i="40"/>
  <c r="E33" i="21"/>
  <c r="I105" i="3"/>
  <c r="C34" i="24" s="1"/>
  <c r="F8" i="22"/>
  <c r="H30" i="22"/>
  <c r="H33" i="22" s="1"/>
  <c r="F25" i="6"/>
  <c r="D25" i="6"/>
  <c r="D27" i="6" s="1"/>
  <c r="D84" i="6" s="1"/>
  <c r="D46" i="6"/>
  <c r="D61" i="6"/>
  <c r="H461" i="41"/>
  <c r="F461" i="41"/>
  <c r="E461" i="41"/>
  <c r="D461" i="41"/>
  <c r="H407" i="41"/>
  <c r="F407" i="41"/>
  <c r="E407" i="41"/>
  <c r="D407" i="41"/>
  <c r="H384" i="41"/>
  <c r="F384" i="41"/>
  <c r="E384" i="41"/>
  <c r="D384" i="41"/>
  <c r="F353" i="41"/>
  <c r="E353" i="41"/>
  <c r="D353" i="41"/>
  <c r="H323" i="41"/>
  <c r="F323" i="41"/>
  <c r="E323" i="41"/>
  <c r="D323" i="41"/>
  <c r="H291" i="41"/>
  <c r="F291" i="41"/>
  <c r="E291" i="41"/>
  <c r="D291" i="41"/>
  <c r="D251" i="41"/>
  <c r="H218" i="41"/>
  <c r="F218" i="41"/>
  <c r="E218" i="41"/>
  <c r="D218" i="41"/>
  <c r="D187" i="41"/>
  <c r="D44" i="41"/>
  <c r="D998" i="42"/>
  <c r="H961" i="42"/>
  <c r="E961" i="42"/>
  <c r="F961" i="42"/>
  <c r="D961" i="42"/>
  <c r="F924" i="42"/>
  <c r="E924" i="42"/>
  <c r="D924" i="42"/>
  <c r="D813" i="42"/>
  <c r="E813" i="42"/>
  <c r="H776" i="42"/>
  <c r="F776" i="42"/>
  <c r="D776" i="42"/>
  <c r="E776" i="42"/>
  <c r="H739" i="42"/>
  <c r="F739" i="42"/>
  <c r="D739" i="42"/>
  <c r="E739" i="42"/>
  <c r="E702" i="42"/>
  <c r="F665" i="42"/>
  <c r="E665" i="42"/>
  <c r="D665" i="42"/>
  <c r="F627" i="42"/>
  <c r="E627" i="42"/>
  <c r="D627" i="42"/>
  <c r="H627" i="42"/>
  <c r="H590" i="42"/>
  <c r="F590" i="42"/>
  <c r="E590" i="42"/>
  <c r="D590" i="42"/>
  <c r="E553" i="42"/>
  <c r="D516" i="42"/>
  <c r="D479" i="42"/>
  <c r="E405" i="42"/>
  <c r="H331" i="42"/>
  <c r="F331" i="42"/>
  <c r="E331" i="42"/>
  <c r="D331" i="42"/>
  <c r="H295" i="42"/>
  <c r="F295" i="42"/>
  <c r="E295" i="42"/>
  <c r="D295" i="42"/>
  <c r="F223" i="42"/>
  <c r="E223" i="42"/>
  <c r="E1074" i="42" s="1"/>
  <c r="D223" i="42"/>
  <c r="D74" i="43"/>
  <c r="H525" i="5"/>
  <c r="F525" i="5"/>
  <c r="E525" i="5"/>
  <c r="D525" i="5"/>
  <c r="E492" i="5"/>
  <c r="D492" i="5"/>
  <c r="D461" i="5"/>
  <c r="E430" i="5"/>
  <c r="F430" i="5"/>
  <c r="D430" i="5"/>
  <c r="H407" i="5"/>
  <c r="F407" i="5"/>
  <c r="E407" i="5"/>
  <c r="D407" i="5"/>
  <c r="F384" i="5"/>
  <c r="E384" i="5"/>
  <c r="D384" i="5"/>
  <c r="H384" i="5"/>
  <c r="D323" i="5"/>
  <c r="E291" i="5"/>
  <c r="H291" i="5"/>
  <c r="F291" i="5"/>
  <c r="D291" i="5"/>
  <c r="D251" i="5"/>
  <c r="F187" i="5"/>
  <c r="E187" i="5"/>
  <c r="D187" i="5"/>
  <c r="H187" i="5"/>
  <c r="D149" i="5"/>
  <c r="E118" i="5"/>
  <c r="D118" i="5"/>
  <c r="D44" i="5"/>
  <c r="D1035" i="4"/>
  <c r="E887" i="4"/>
  <c r="D887" i="4"/>
  <c r="D850" i="4"/>
  <c r="D813" i="4"/>
  <c r="E813" i="4"/>
  <c r="D776" i="4"/>
  <c r="E776" i="4"/>
  <c r="E739" i="4"/>
  <c r="F739" i="4"/>
  <c r="D739" i="4"/>
  <c r="D665" i="4"/>
  <c r="D627" i="4"/>
  <c r="E627" i="4"/>
  <c r="D553" i="4"/>
  <c r="E553" i="4"/>
  <c r="D516" i="4"/>
  <c r="D405" i="4"/>
  <c r="E442" i="4"/>
  <c r="D442" i="4"/>
  <c r="D259" i="4"/>
  <c r="E188" i="4"/>
  <c r="E116" i="4"/>
  <c r="D152" i="4"/>
  <c r="E45" i="3"/>
  <c r="D45" i="3"/>
  <c r="V11" i="48"/>
  <c r="A3" i="40"/>
  <c r="B3" i="40"/>
  <c r="B6" i="40"/>
  <c r="BG7" i="40"/>
  <c r="AD10" i="40"/>
  <c r="BG10" i="40"/>
  <c r="BG18" i="40" s="1"/>
  <c r="BG21" i="40" s="1"/>
  <c r="AA18" i="40"/>
  <c r="AA21" i="40" s="1"/>
  <c r="AA29" i="40" s="1"/>
  <c r="AR18" i="40"/>
  <c r="AY18" i="40"/>
  <c r="AY21" i="40" s="1"/>
  <c r="AY29" i="40" s="1"/>
  <c r="BA18" i="40"/>
  <c r="BA21" i="40" s="1"/>
  <c r="BA29" i="40" s="1"/>
  <c r="AR21" i="40"/>
  <c r="AR29" i="40" s="1"/>
  <c r="BG23" i="40"/>
  <c r="AW25" i="40"/>
  <c r="BG25" i="40"/>
  <c r="BG27" i="40"/>
  <c r="AW33" i="40"/>
  <c r="BG33" i="40"/>
  <c r="BG39" i="40" s="1"/>
  <c r="H39" i="40"/>
  <c r="V39" i="40"/>
  <c r="AA39" i="40"/>
  <c r="AC39" i="40"/>
  <c r="AD39" i="40"/>
  <c r="AF39" i="40"/>
  <c r="AN39" i="40"/>
  <c r="AR39" i="40"/>
  <c r="AY39" i="40"/>
  <c r="BA39" i="40"/>
  <c r="H48" i="40"/>
  <c r="L48" i="40"/>
  <c r="P48" i="40"/>
  <c r="T48" i="40"/>
  <c r="AA48" i="40"/>
  <c r="AC48" i="40"/>
  <c r="AD48" i="40"/>
  <c r="AF48" i="40"/>
  <c r="AH48" i="40"/>
  <c r="AL48" i="40"/>
  <c r="AN48" i="40"/>
  <c r="AP48" i="40"/>
  <c r="AR48" i="40"/>
  <c r="AU48" i="40"/>
  <c r="AY48" i="40"/>
  <c r="BA48" i="40"/>
  <c r="BG48" i="40"/>
  <c r="H57" i="40"/>
  <c r="J57" i="40"/>
  <c r="L57" i="40"/>
  <c r="N57" i="40"/>
  <c r="P57" i="40"/>
  <c r="R57" i="40"/>
  <c r="T57" i="40"/>
  <c r="V57" i="40"/>
  <c r="X57" i="40"/>
  <c r="AA57" i="40"/>
  <c r="AC57" i="40"/>
  <c r="AD57" i="40"/>
  <c r="AF57" i="40"/>
  <c r="AH57" i="40"/>
  <c r="AJ57" i="40"/>
  <c r="AL57" i="40"/>
  <c r="AN57" i="40"/>
  <c r="AP57" i="40"/>
  <c r="AR57" i="40"/>
  <c r="AU57" i="40"/>
  <c r="AW57" i="40"/>
  <c r="AY57" i="40"/>
  <c r="BA57" i="40"/>
  <c r="BC57" i="40"/>
  <c r="BE57" i="40"/>
  <c r="BG57" i="40"/>
  <c r="H66" i="40"/>
  <c r="J66" i="40"/>
  <c r="L66" i="40"/>
  <c r="N66" i="40"/>
  <c r="P66" i="40"/>
  <c r="R66" i="40"/>
  <c r="T66" i="40"/>
  <c r="V66" i="40"/>
  <c r="X66" i="40"/>
  <c r="AA66" i="40"/>
  <c r="AC66" i="40"/>
  <c r="AD66" i="40"/>
  <c r="AF66" i="40"/>
  <c r="AH66" i="40"/>
  <c r="AJ66" i="40"/>
  <c r="AL66" i="40"/>
  <c r="AN66" i="40"/>
  <c r="AP66" i="40"/>
  <c r="AR66" i="40"/>
  <c r="AU66" i="40"/>
  <c r="AW66" i="40"/>
  <c r="AY66" i="40"/>
  <c r="BA66" i="40"/>
  <c r="BC66" i="40"/>
  <c r="BE66" i="40"/>
  <c r="BG66" i="40"/>
  <c r="H75" i="40"/>
  <c r="J75" i="40"/>
  <c r="L75" i="40"/>
  <c r="N75" i="40"/>
  <c r="P75" i="40"/>
  <c r="R75" i="40"/>
  <c r="T75" i="40"/>
  <c r="V75" i="40"/>
  <c r="X75" i="40"/>
  <c r="AA75" i="40"/>
  <c r="AC75" i="40"/>
  <c r="AD75" i="40"/>
  <c r="AF75" i="40"/>
  <c r="AH75" i="40"/>
  <c r="AJ75" i="40"/>
  <c r="AL75" i="40"/>
  <c r="AN75" i="40"/>
  <c r="AP75" i="40"/>
  <c r="AR75" i="40"/>
  <c r="AU75" i="40"/>
  <c r="AW75" i="40"/>
  <c r="AY75" i="40"/>
  <c r="BA75" i="40"/>
  <c r="BC75" i="40"/>
  <c r="BE75" i="40"/>
  <c r="BG75" i="40"/>
  <c r="H84" i="40"/>
  <c r="J84" i="40"/>
  <c r="L84" i="40"/>
  <c r="N84" i="40"/>
  <c r="P84" i="40"/>
  <c r="R84" i="40"/>
  <c r="T84" i="40"/>
  <c r="V84" i="40"/>
  <c r="X84" i="40"/>
  <c r="AA84" i="40"/>
  <c r="AC84" i="40"/>
  <c r="AD84" i="40"/>
  <c r="AF84" i="40"/>
  <c r="AH84" i="40"/>
  <c r="AJ84" i="40"/>
  <c r="AL84" i="40"/>
  <c r="AN84" i="40"/>
  <c r="AP84" i="40"/>
  <c r="AR84" i="40"/>
  <c r="AU84" i="40"/>
  <c r="AW84" i="40"/>
  <c r="AY84" i="40"/>
  <c r="BA84" i="40"/>
  <c r="BC84" i="40"/>
  <c r="BE84" i="40"/>
  <c r="BG84" i="40"/>
  <c r="J92" i="40"/>
  <c r="L92" i="40"/>
  <c r="N92" i="40"/>
  <c r="P92" i="40"/>
  <c r="R92" i="40"/>
  <c r="T92" i="40"/>
  <c r="V92" i="40"/>
  <c r="X92" i="40"/>
  <c r="AA92" i="40"/>
  <c r="AC92" i="40"/>
  <c r="AD92" i="40"/>
  <c r="AF92" i="40"/>
  <c r="AH92" i="40"/>
  <c r="AJ92" i="40"/>
  <c r="AL92" i="40"/>
  <c r="AN92" i="40"/>
  <c r="AP92" i="40"/>
  <c r="AR92" i="40"/>
  <c r="AU92" i="40"/>
  <c r="AW92" i="40"/>
  <c r="AY92" i="40"/>
  <c r="BA92" i="40"/>
  <c r="BC92" i="40"/>
  <c r="BE92" i="40"/>
  <c r="BG92" i="40"/>
  <c r="J101" i="40"/>
  <c r="L101" i="40"/>
  <c r="N101" i="40"/>
  <c r="P101" i="40"/>
  <c r="R101" i="40"/>
  <c r="T101" i="40"/>
  <c r="V101" i="40"/>
  <c r="X101" i="40"/>
  <c r="AA101" i="40"/>
  <c r="AC101" i="40"/>
  <c r="AD101" i="40"/>
  <c r="AF101" i="40"/>
  <c r="AH101" i="40"/>
  <c r="AJ101" i="40"/>
  <c r="AL101" i="40"/>
  <c r="AN101" i="40"/>
  <c r="AP101" i="40"/>
  <c r="AR101" i="40"/>
  <c r="AU101" i="40"/>
  <c r="AW101" i="40"/>
  <c r="AY101" i="40"/>
  <c r="BA101" i="40"/>
  <c r="BC101" i="40"/>
  <c r="BE101" i="40"/>
  <c r="BG101" i="40"/>
  <c r="J110" i="40"/>
  <c r="L110" i="40"/>
  <c r="N110" i="40"/>
  <c r="P110" i="40"/>
  <c r="R110" i="40"/>
  <c r="T110" i="40"/>
  <c r="V110" i="40"/>
  <c r="X110" i="40"/>
  <c r="AA110" i="40"/>
  <c r="AC110" i="40"/>
  <c r="AD110" i="40"/>
  <c r="AF110" i="40"/>
  <c r="AH110" i="40"/>
  <c r="AJ110" i="40"/>
  <c r="AL110" i="40"/>
  <c r="AN110" i="40"/>
  <c r="AP110" i="40"/>
  <c r="AR110" i="40"/>
  <c r="AU110" i="40"/>
  <c r="AW110" i="40"/>
  <c r="AY110" i="40"/>
  <c r="BA110" i="40"/>
  <c r="BC110" i="40"/>
  <c r="BE110" i="40"/>
  <c r="BG110" i="40"/>
  <c r="H119" i="40"/>
  <c r="J119" i="40"/>
  <c r="L119" i="40"/>
  <c r="N119" i="40"/>
  <c r="P119" i="40"/>
  <c r="R119" i="40"/>
  <c r="T119" i="40"/>
  <c r="V119" i="40"/>
  <c r="X119" i="40"/>
  <c r="AA119" i="40"/>
  <c r="AC119" i="40"/>
  <c r="AD119" i="40"/>
  <c r="AF119" i="40"/>
  <c r="AH119" i="40"/>
  <c r="AJ119" i="40"/>
  <c r="AL119" i="40"/>
  <c r="AN119" i="40"/>
  <c r="AP119" i="40"/>
  <c r="AR119" i="40"/>
  <c r="AU119" i="40"/>
  <c r="AW119" i="40"/>
  <c r="AY119" i="40"/>
  <c r="BA119" i="40"/>
  <c r="BC119" i="40"/>
  <c r="BE119" i="40"/>
  <c r="BG119" i="40"/>
  <c r="J128" i="40"/>
  <c r="L128" i="40"/>
  <c r="N128" i="40"/>
  <c r="P128" i="40"/>
  <c r="R128" i="40"/>
  <c r="T128" i="40"/>
  <c r="V128" i="40"/>
  <c r="X128" i="40"/>
  <c r="AA128" i="40"/>
  <c r="AC128" i="40"/>
  <c r="AD128" i="40"/>
  <c r="AF128" i="40"/>
  <c r="AH128" i="40"/>
  <c r="AJ128" i="40"/>
  <c r="AL128" i="40"/>
  <c r="AP128" i="40"/>
  <c r="AR128" i="40"/>
  <c r="AU128" i="40"/>
  <c r="AW128" i="40"/>
  <c r="AY128" i="40"/>
  <c r="BA128" i="40"/>
  <c r="BC128" i="40"/>
  <c r="BE128" i="40"/>
  <c r="BG128" i="40"/>
  <c r="H136" i="40"/>
  <c r="J136" i="40"/>
  <c r="L136" i="40"/>
  <c r="N136" i="40"/>
  <c r="P136" i="40"/>
  <c r="R136" i="40"/>
  <c r="T136" i="40"/>
  <c r="V136" i="40"/>
  <c r="X136" i="40"/>
  <c r="AA136" i="40"/>
  <c r="AC136" i="40"/>
  <c r="AD136" i="40"/>
  <c r="AF136" i="40"/>
  <c r="AH136" i="40"/>
  <c r="AJ136" i="40"/>
  <c r="AL136" i="40"/>
  <c r="AN136" i="40"/>
  <c r="AP136" i="40"/>
  <c r="AR136" i="40"/>
  <c r="AU136" i="40"/>
  <c r="AW136" i="40"/>
  <c r="AY136" i="40"/>
  <c r="BA136" i="40"/>
  <c r="BC136" i="40"/>
  <c r="BE136" i="40"/>
  <c r="BG136" i="40"/>
  <c r="H145" i="40"/>
  <c r="J145" i="40"/>
  <c r="L145" i="40"/>
  <c r="N145" i="40"/>
  <c r="P145" i="40"/>
  <c r="R145" i="40"/>
  <c r="T145" i="40"/>
  <c r="V145" i="40"/>
  <c r="X145" i="40"/>
  <c r="AA145" i="40"/>
  <c r="AC145" i="40"/>
  <c r="AD145" i="40"/>
  <c r="AF145" i="40"/>
  <c r="AH145" i="40"/>
  <c r="AH156" i="40" s="1"/>
  <c r="AJ145" i="40"/>
  <c r="AL145" i="40"/>
  <c r="AN145" i="40"/>
  <c r="AP145" i="40"/>
  <c r="AR145" i="40"/>
  <c r="AU145" i="40"/>
  <c r="AW145" i="40"/>
  <c r="AY145" i="40"/>
  <c r="BA145" i="40"/>
  <c r="BC145" i="40"/>
  <c r="BE145" i="40"/>
  <c r="BG145" i="40"/>
  <c r="BG156" i="40" s="1"/>
  <c r="H154" i="40"/>
  <c r="J154" i="40"/>
  <c r="L154" i="40"/>
  <c r="N154" i="40"/>
  <c r="P154" i="40"/>
  <c r="R154" i="40"/>
  <c r="T154" i="40"/>
  <c r="V154" i="40"/>
  <c r="X154" i="40"/>
  <c r="AA154" i="40"/>
  <c r="AC154" i="40"/>
  <c r="AD154" i="40"/>
  <c r="AF154" i="40"/>
  <c r="AH154" i="40"/>
  <c r="AJ154" i="40"/>
  <c r="AL154" i="40"/>
  <c r="AN154" i="40"/>
  <c r="AP154" i="40"/>
  <c r="AR154" i="40"/>
  <c r="AU154" i="40"/>
  <c r="AW154" i="40"/>
  <c r="AY154" i="40"/>
  <c r="BA154" i="40"/>
  <c r="BC154" i="40"/>
  <c r="BE154" i="40"/>
  <c r="BG154" i="40"/>
  <c r="H165" i="40"/>
  <c r="J165" i="40"/>
  <c r="L165" i="40"/>
  <c r="N165" i="40"/>
  <c r="P165" i="40"/>
  <c r="R165" i="40"/>
  <c r="T165" i="40"/>
  <c r="V165" i="40"/>
  <c r="X165" i="40"/>
  <c r="AA165" i="40"/>
  <c r="AC165" i="40"/>
  <c r="AD165" i="40"/>
  <c r="AH165" i="40"/>
  <c r="AJ165" i="40"/>
  <c r="AL165" i="40"/>
  <c r="AN165" i="40"/>
  <c r="AP165" i="40"/>
  <c r="AR165" i="40"/>
  <c r="AU165" i="40"/>
  <c r="AW165" i="40"/>
  <c r="AY165" i="40"/>
  <c r="BA165" i="40"/>
  <c r="BC165" i="40"/>
  <c r="BE165" i="40"/>
  <c r="BG165" i="40"/>
  <c r="L174" i="40"/>
  <c r="P174" i="40"/>
  <c r="R174" i="40"/>
  <c r="T174" i="40"/>
  <c r="V174" i="40"/>
  <c r="AA174" i="40"/>
  <c r="AF174" i="40"/>
  <c r="AH174" i="40"/>
  <c r="AL174" i="40"/>
  <c r="AN174" i="40"/>
  <c r="AP174" i="40"/>
  <c r="AR174" i="40"/>
  <c r="AU174" i="40"/>
  <c r="AW174" i="40"/>
  <c r="AY174" i="40"/>
  <c r="BA174" i="40"/>
  <c r="BC174" i="40"/>
  <c r="BE174" i="40"/>
  <c r="BG174" i="40"/>
  <c r="BG179" i="40"/>
  <c r="BG186" i="40" s="1"/>
  <c r="AD180" i="40"/>
  <c r="AP184" i="40"/>
  <c r="AP185" i="40"/>
  <c r="AA186" i="40"/>
  <c r="AR186" i="40"/>
  <c r="AY186" i="40"/>
  <c r="BA186" i="40"/>
  <c r="BG190" i="40"/>
  <c r="A1" i="32"/>
  <c r="H9" i="32"/>
  <c r="H10" i="32"/>
  <c r="B11" i="32"/>
  <c r="C11" i="32"/>
  <c r="E11" i="32"/>
  <c r="H13" i="32"/>
  <c r="H14" i="32"/>
  <c r="H15" i="32"/>
  <c r="H16" i="32"/>
  <c r="H17" i="32"/>
  <c r="B18" i="32"/>
  <c r="C18" i="32"/>
  <c r="H19" i="32"/>
  <c r="C20" i="32"/>
  <c r="C21" i="32"/>
  <c r="G21" i="32"/>
  <c r="B23" i="32"/>
  <c r="C23" i="32"/>
  <c r="D23" i="32"/>
  <c r="E23" i="32"/>
  <c r="F23" i="32"/>
  <c r="G23" i="32"/>
  <c r="H23" i="32"/>
  <c r="B25" i="32"/>
  <c r="C25" i="32"/>
  <c r="C26" i="32"/>
  <c r="G27" i="32"/>
  <c r="H27" i="32" s="1"/>
  <c r="C16" i="28" s="1"/>
  <c r="A1" i="31"/>
  <c r="C8" i="31"/>
  <c r="C10" i="31"/>
  <c r="C14" i="31" s="1"/>
  <c r="C18" i="31" s="1"/>
  <c r="C11" i="31"/>
  <c r="C15" i="31"/>
  <c r="C16" i="31"/>
  <c r="G17" i="31"/>
  <c r="B19" i="31"/>
  <c r="C19" i="31"/>
  <c r="D19" i="31"/>
  <c r="E19" i="31"/>
  <c r="F19" i="31"/>
  <c r="G19" i="31"/>
  <c r="H19" i="31"/>
  <c r="A1" i="30"/>
  <c r="D11" i="30"/>
  <c r="F11" i="30"/>
  <c r="H11" i="30"/>
  <c r="K11" i="30"/>
  <c r="L11" i="30"/>
  <c r="M11" i="30"/>
  <c r="D18" i="30"/>
  <c r="F18" i="30"/>
  <c r="H18" i="30"/>
  <c r="L18" i="30"/>
  <c r="B23" i="30"/>
  <c r="C23" i="30"/>
  <c r="D23" i="30"/>
  <c r="E23" i="30"/>
  <c r="F23" i="30"/>
  <c r="G23" i="30"/>
  <c r="H23" i="30"/>
  <c r="I23" i="30"/>
  <c r="J23" i="30"/>
  <c r="K23" i="30"/>
  <c r="L23" i="30"/>
  <c r="M23" i="30"/>
  <c r="N23" i="30"/>
  <c r="A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A1" i="28"/>
  <c r="B1" i="27"/>
  <c r="D1" i="27"/>
  <c r="B22" i="27"/>
  <c r="C22" i="27"/>
  <c r="D22" i="27"/>
  <c r="B1" i="26"/>
  <c r="D1" i="26"/>
  <c r="C12" i="26"/>
  <c r="D12" i="26" s="1"/>
  <c r="C15" i="26"/>
  <c r="D15" i="26" s="1"/>
  <c r="F15" i="26" s="1"/>
  <c r="B18" i="26"/>
  <c r="C18" i="26"/>
  <c r="E18" i="26"/>
  <c r="B1" i="25"/>
  <c r="D1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36" i="25"/>
  <c r="G41" i="25"/>
  <c r="G43" i="25" s="1"/>
  <c r="E47" i="25"/>
  <c r="C14" i="26" s="1"/>
  <c r="D14" i="26" s="1"/>
  <c r="F14" i="26" s="1"/>
  <c r="F50" i="25"/>
  <c r="F51" i="25"/>
  <c r="C18" i="24"/>
  <c r="C57" i="24"/>
  <c r="C68" i="24"/>
  <c r="B1" i="23"/>
  <c r="E1" i="23"/>
  <c r="B1" i="22"/>
  <c r="D1" i="22"/>
  <c r="H21" i="22"/>
  <c r="I22" i="22" s="1"/>
  <c r="H37" i="22" s="1"/>
  <c r="C1" i="39"/>
  <c r="E1" i="39"/>
  <c r="I6" i="39"/>
  <c r="BE7" i="40" s="1"/>
  <c r="I9" i="39"/>
  <c r="I10" i="39"/>
  <c r="BE25" i="40" s="1"/>
  <c r="I11" i="39"/>
  <c r="D13" i="39"/>
  <c r="E13" i="39"/>
  <c r="F13" i="39"/>
  <c r="F15" i="39" s="1"/>
  <c r="F61" i="39" s="1"/>
  <c r="G13" i="39"/>
  <c r="G15" i="39" s="1"/>
  <c r="G61" i="39" s="1"/>
  <c r="H13" i="39"/>
  <c r="I13" i="39"/>
  <c r="I15" i="39" s="1"/>
  <c r="I61" i="39" s="1"/>
  <c r="D15" i="39"/>
  <c r="D61" i="39" s="1"/>
  <c r="E15" i="39"/>
  <c r="E61" i="39" s="1"/>
  <c r="H15" i="39"/>
  <c r="I18" i="39"/>
  <c r="I23" i="39"/>
  <c r="BE33" i="40" s="1"/>
  <c r="I24" i="39"/>
  <c r="I25" i="39"/>
  <c r="I26" i="39"/>
  <c r="I27" i="39"/>
  <c r="I28" i="39"/>
  <c r="BE36" i="40" s="1"/>
  <c r="I29" i="39"/>
  <c r="I30" i="39"/>
  <c r="I31" i="39"/>
  <c r="BE38" i="40" s="1"/>
  <c r="D33" i="39"/>
  <c r="E33" i="39"/>
  <c r="F33" i="39"/>
  <c r="F49" i="39" s="1"/>
  <c r="G33" i="39"/>
  <c r="H33" i="39"/>
  <c r="I36" i="39"/>
  <c r="BE42" i="40" s="1"/>
  <c r="I37" i="39"/>
  <c r="BE43" i="40" s="1"/>
  <c r="I38" i="39"/>
  <c r="I39" i="39"/>
  <c r="I40" i="39"/>
  <c r="I41" i="39"/>
  <c r="BE45" i="40" s="1"/>
  <c r="I42" i="39"/>
  <c r="BE46" i="40" s="1"/>
  <c r="I43" i="39"/>
  <c r="D44" i="39"/>
  <c r="D47" i="39" s="1"/>
  <c r="E44" i="39"/>
  <c r="E47" i="39"/>
  <c r="F44" i="39"/>
  <c r="G44" i="39"/>
  <c r="G47" i="39" s="1"/>
  <c r="G49" i="39" s="1"/>
  <c r="G58" i="39" s="1"/>
  <c r="G63" i="39" s="1"/>
  <c r="H44" i="39"/>
  <c r="I44" i="39"/>
  <c r="BE47" i="40" s="1"/>
  <c r="I45" i="39"/>
  <c r="F47" i="39"/>
  <c r="H47" i="39"/>
  <c r="H49" i="39"/>
  <c r="I52" i="39"/>
  <c r="I53" i="39"/>
  <c r="BE185" i="40" s="1"/>
  <c r="I54" i="39"/>
  <c r="BE180" i="40" s="1"/>
  <c r="I55" i="39"/>
  <c r="BE179" i="40" s="1"/>
  <c r="D56" i="39"/>
  <c r="E56" i="39"/>
  <c r="F56" i="39"/>
  <c r="G56" i="39"/>
  <c r="H56" i="39"/>
  <c r="H61" i="39"/>
  <c r="C1" i="21"/>
  <c r="E1" i="21"/>
  <c r="I6" i="21"/>
  <c r="AW7" i="40" s="1"/>
  <c r="I9" i="21"/>
  <c r="I10" i="21"/>
  <c r="I11" i="21"/>
  <c r="AW27" i="40" s="1"/>
  <c r="D13" i="21"/>
  <c r="D15" i="21" s="1"/>
  <c r="D61" i="21" s="1"/>
  <c r="E13" i="21"/>
  <c r="E15" i="21" s="1"/>
  <c r="E61" i="21" s="1"/>
  <c r="F13" i="21"/>
  <c r="G13" i="21"/>
  <c r="G15" i="21" s="1"/>
  <c r="H13" i="21"/>
  <c r="H15" i="21" s="1"/>
  <c r="H61" i="21" s="1"/>
  <c r="I13" i="21"/>
  <c r="I15" i="21" s="1"/>
  <c r="F15" i="21"/>
  <c r="F61" i="21" s="1"/>
  <c r="I18" i="21"/>
  <c r="I23" i="21"/>
  <c r="I24" i="21"/>
  <c r="BC33" i="40" s="1"/>
  <c r="I25" i="21"/>
  <c r="I26" i="21"/>
  <c r="I27" i="21"/>
  <c r="I28" i="21"/>
  <c r="AW36" i="40" s="1"/>
  <c r="I29" i="21"/>
  <c r="I30" i="21"/>
  <c r="I31" i="21"/>
  <c r="AW38" i="40" s="1"/>
  <c r="D33" i="21"/>
  <c r="F33" i="21"/>
  <c r="G33" i="21"/>
  <c r="H33" i="21"/>
  <c r="I33" i="21"/>
  <c r="I36" i="21"/>
  <c r="AW42" i="40" s="1"/>
  <c r="I37" i="21"/>
  <c r="I38" i="21"/>
  <c r="I39" i="21"/>
  <c r="I40" i="21"/>
  <c r="I41" i="21"/>
  <c r="AW45" i="40" s="1"/>
  <c r="I42" i="21"/>
  <c r="I43" i="21"/>
  <c r="D44" i="21"/>
  <c r="E44" i="21"/>
  <c r="E47" i="21" s="1"/>
  <c r="F44" i="21"/>
  <c r="G44" i="21"/>
  <c r="G47" i="21" s="1"/>
  <c r="G49" i="21" s="1"/>
  <c r="G58" i="21" s="1"/>
  <c r="G63" i="21" s="1"/>
  <c r="H44" i="21"/>
  <c r="H47" i="21" s="1"/>
  <c r="H49" i="21" s="1"/>
  <c r="I44" i="21"/>
  <c r="AW47" i="40" s="1"/>
  <c r="I45" i="21"/>
  <c r="D47" i="21"/>
  <c r="F47" i="21"/>
  <c r="F49" i="21" s="1"/>
  <c r="F58" i="21" s="1"/>
  <c r="I52" i="21"/>
  <c r="AW181" i="40" s="1"/>
  <c r="I53" i="21"/>
  <c r="AW185" i="40" s="1"/>
  <c r="I54" i="21"/>
  <c r="AW180" i="40" s="1"/>
  <c r="I55" i="21"/>
  <c r="AW179" i="40" s="1"/>
  <c r="D56" i="21"/>
  <c r="E56" i="21"/>
  <c r="F56" i="21"/>
  <c r="G56" i="21"/>
  <c r="H56" i="21"/>
  <c r="G61" i="21"/>
  <c r="C1" i="20"/>
  <c r="E1" i="20"/>
  <c r="I6" i="20"/>
  <c r="BC7" i="40" s="1"/>
  <c r="I8" i="20"/>
  <c r="I9" i="20"/>
  <c r="I10" i="20"/>
  <c r="I11" i="20"/>
  <c r="F15" i="31" s="1"/>
  <c r="I12" i="20"/>
  <c r="BC27" i="40" s="1"/>
  <c r="D14" i="20"/>
  <c r="E14" i="20"/>
  <c r="E16" i="20" s="1"/>
  <c r="E62" i="20" s="1"/>
  <c r="F14" i="20"/>
  <c r="F16" i="20" s="1"/>
  <c r="F62" i="20" s="1"/>
  <c r="G14" i="20"/>
  <c r="G16" i="20" s="1"/>
  <c r="G62" i="20" s="1"/>
  <c r="H14" i="20"/>
  <c r="H16" i="20" s="1"/>
  <c r="H62" i="20" s="1"/>
  <c r="D16" i="20"/>
  <c r="I19" i="20"/>
  <c r="I45" i="20" s="1"/>
  <c r="BC47" i="40" s="1"/>
  <c r="I24" i="20"/>
  <c r="I25" i="20"/>
  <c r="BC34" i="40" s="1"/>
  <c r="I26" i="20"/>
  <c r="I27" i="20"/>
  <c r="I28" i="20"/>
  <c r="I29" i="20"/>
  <c r="BC36" i="40" s="1"/>
  <c r="I30" i="20"/>
  <c r="I31" i="20"/>
  <c r="I32" i="20"/>
  <c r="BC38" i="40" s="1"/>
  <c r="D34" i="20"/>
  <c r="E34" i="20"/>
  <c r="F34" i="20"/>
  <c r="G34" i="20"/>
  <c r="H34" i="20"/>
  <c r="I37" i="20"/>
  <c r="BC42" i="40" s="1"/>
  <c r="I38" i="20"/>
  <c r="I39" i="20"/>
  <c r="I40" i="20"/>
  <c r="I41" i="20"/>
  <c r="I42" i="20"/>
  <c r="BC45" i="40" s="1"/>
  <c r="I43" i="20"/>
  <c r="I44" i="20"/>
  <c r="D45" i="20"/>
  <c r="D48" i="20" s="1"/>
  <c r="D50" i="20" s="1"/>
  <c r="D59" i="20" s="1"/>
  <c r="D64" i="20" s="1"/>
  <c r="E45" i="20"/>
  <c r="E48" i="20" s="1"/>
  <c r="E50" i="20" s="1"/>
  <c r="E59" i="20" s="1"/>
  <c r="F45" i="20"/>
  <c r="F48" i="20" s="1"/>
  <c r="F50" i="20" s="1"/>
  <c r="F59" i="20" s="1"/>
  <c r="F64" i="20" s="1"/>
  <c r="G45" i="20"/>
  <c r="G48" i="20" s="1"/>
  <c r="H45" i="20"/>
  <c r="I46" i="20"/>
  <c r="H48" i="20"/>
  <c r="H50" i="20" s="1"/>
  <c r="H59" i="20" s="1"/>
  <c r="H64" i="20" s="1"/>
  <c r="G50" i="20"/>
  <c r="I53" i="20"/>
  <c r="BC181" i="40" s="1"/>
  <c r="I54" i="20"/>
  <c r="BC185" i="40" s="1"/>
  <c r="I55" i="20"/>
  <c r="BC180" i="40" s="1"/>
  <c r="I56" i="20"/>
  <c r="BC179" i="40" s="1"/>
  <c r="D57" i="20"/>
  <c r="E57" i="20"/>
  <c r="F57" i="20"/>
  <c r="G57" i="20"/>
  <c r="H57" i="20"/>
  <c r="D62" i="20"/>
  <c r="C1" i="19"/>
  <c r="E1" i="19"/>
  <c r="I6" i="19"/>
  <c r="I8" i="19"/>
  <c r="I9" i="19"/>
  <c r="I10" i="19"/>
  <c r="I19" i="19" s="1"/>
  <c r="I11" i="19"/>
  <c r="I12" i="19"/>
  <c r="I13" i="19"/>
  <c r="I14" i="19"/>
  <c r="I15" i="19"/>
  <c r="I16" i="19"/>
  <c r="AP25" i="40" s="1"/>
  <c r="I17" i="19"/>
  <c r="AP27" i="40" s="1"/>
  <c r="D19" i="19"/>
  <c r="D21" i="19" s="1"/>
  <c r="D52" i="19" s="1"/>
  <c r="E19" i="19"/>
  <c r="E21" i="19" s="1"/>
  <c r="E52" i="19" s="1"/>
  <c r="F19" i="19"/>
  <c r="G19" i="19"/>
  <c r="G21" i="19" s="1"/>
  <c r="G52" i="19" s="1"/>
  <c r="H19" i="19"/>
  <c r="F21" i="19"/>
  <c r="F52" i="19" s="1"/>
  <c r="H21" i="19"/>
  <c r="H52" i="19" s="1"/>
  <c r="I24" i="19"/>
  <c r="I28" i="19"/>
  <c r="AP33" i="40" s="1"/>
  <c r="I29" i="19"/>
  <c r="I30" i="19"/>
  <c r="I31" i="19"/>
  <c r="I32" i="19"/>
  <c r="I33" i="19"/>
  <c r="AP36" i="40" s="1"/>
  <c r="I34" i="19"/>
  <c r="I35" i="19"/>
  <c r="D36" i="19"/>
  <c r="D39" i="19" s="1"/>
  <c r="D49" i="19" s="1"/>
  <c r="E36" i="19"/>
  <c r="E39" i="19" s="1"/>
  <c r="F36" i="19"/>
  <c r="G36" i="19"/>
  <c r="G39" i="19" s="1"/>
  <c r="H36" i="19"/>
  <c r="I36" i="19"/>
  <c r="I37" i="19"/>
  <c r="F39" i="19"/>
  <c r="F49" i="19" s="1"/>
  <c r="F54" i="19" s="1"/>
  <c r="H39" i="19"/>
  <c r="H49" i="19" s="1"/>
  <c r="I42" i="19"/>
  <c r="I43" i="19"/>
  <c r="I50" i="22" s="1"/>
  <c r="I44" i="19"/>
  <c r="I45" i="19"/>
  <c r="AP180" i="40" s="1"/>
  <c r="I46" i="19"/>
  <c r="AP179" i="40" s="1"/>
  <c r="D47" i="19"/>
  <c r="E47" i="19"/>
  <c r="E49" i="19" s="1"/>
  <c r="F47" i="19"/>
  <c r="G47" i="19"/>
  <c r="H47" i="19"/>
  <c r="C1" i="18"/>
  <c r="E1" i="18"/>
  <c r="I7" i="18"/>
  <c r="I9" i="18"/>
  <c r="I10" i="18"/>
  <c r="I11" i="18"/>
  <c r="I12" i="18"/>
  <c r="I13" i="18"/>
  <c r="AU27" i="40" s="1"/>
  <c r="D15" i="18"/>
  <c r="D17" i="18" s="1"/>
  <c r="D48" i="18" s="1"/>
  <c r="E15" i="18"/>
  <c r="E17" i="18" s="1"/>
  <c r="E48" i="18" s="1"/>
  <c r="F15" i="18"/>
  <c r="F17" i="18" s="1"/>
  <c r="F48" i="18" s="1"/>
  <c r="G15" i="18"/>
  <c r="H15" i="18"/>
  <c r="H17" i="18" s="1"/>
  <c r="G17" i="18"/>
  <c r="G48" i="18" s="1"/>
  <c r="I20" i="18"/>
  <c r="I32" i="18" s="1"/>
  <c r="I24" i="18"/>
  <c r="I25" i="18"/>
  <c r="AU34" i="40" s="1"/>
  <c r="I26" i="18"/>
  <c r="I27" i="18"/>
  <c r="I28" i="18"/>
  <c r="I29" i="18"/>
  <c r="AU36" i="40" s="1"/>
  <c r="I30" i="18"/>
  <c r="I31" i="18"/>
  <c r="D32" i="18"/>
  <c r="D35" i="18" s="1"/>
  <c r="E32" i="18"/>
  <c r="E35" i="18" s="1"/>
  <c r="F32" i="18"/>
  <c r="F35" i="18" s="1"/>
  <c r="G32" i="18"/>
  <c r="G35" i="18" s="1"/>
  <c r="H32" i="18"/>
  <c r="H35" i="18" s="1"/>
  <c r="I33" i="18"/>
  <c r="I38" i="18"/>
  <c r="I39" i="18"/>
  <c r="I40" i="18"/>
  <c r="AU185" i="40" s="1"/>
  <c r="I41" i="18"/>
  <c r="AU180" i="40" s="1"/>
  <c r="I42" i="18"/>
  <c r="AU179" i="40" s="1"/>
  <c r="D43" i="18"/>
  <c r="E43" i="18"/>
  <c r="E45" i="18"/>
  <c r="F43" i="18"/>
  <c r="G43" i="18"/>
  <c r="G45" i="18" s="1"/>
  <c r="G50" i="18" s="1"/>
  <c r="H43" i="18"/>
  <c r="H45" i="18"/>
  <c r="H50" i="18" s="1"/>
  <c r="H48" i="18"/>
  <c r="C1" i="17"/>
  <c r="E1" i="17"/>
  <c r="I6" i="17"/>
  <c r="AL7" i="40" s="1"/>
  <c r="I9" i="17"/>
  <c r="I10" i="17"/>
  <c r="I17" i="17" s="1"/>
  <c r="I19" i="17" s="1"/>
  <c r="I11" i="17"/>
  <c r="I12" i="17"/>
  <c r="I13" i="17"/>
  <c r="I14" i="17"/>
  <c r="AL25" i="40" s="1"/>
  <c r="I15" i="17"/>
  <c r="AL27" i="40" s="1"/>
  <c r="D17" i="17"/>
  <c r="E17" i="17"/>
  <c r="F17" i="17"/>
  <c r="F19" i="17" s="1"/>
  <c r="F50" i="17" s="1"/>
  <c r="G17" i="17"/>
  <c r="G19" i="17" s="1"/>
  <c r="G50" i="17" s="1"/>
  <c r="H17" i="17"/>
  <c r="H19" i="17" s="1"/>
  <c r="H50" i="17" s="1"/>
  <c r="D19" i="17"/>
  <c r="D50" i="17" s="1"/>
  <c r="E19" i="17"/>
  <c r="E50" i="17" s="1"/>
  <c r="I22" i="17"/>
  <c r="I26" i="17"/>
  <c r="AL33" i="40" s="1"/>
  <c r="I27" i="17"/>
  <c r="AL34" i="40" s="1"/>
  <c r="I28" i="17"/>
  <c r="I29" i="17"/>
  <c r="I30" i="17"/>
  <c r="I31" i="17"/>
  <c r="AL36" i="40" s="1"/>
  <c r="I32" i="17"/>
  <c r="AL37" i="40" s="1"/>
  <c r="I33" i="17"/>
  <c r="D34" i="17"/>
  <c r="D37" i="17" s="1"/>
  <c r="D47" i="17" s="1"/>
  <c r="D52" i="17" s="1"/>
  <c r="E34" i="17"/>
  <c r="E37" i="17" s="1"/>
  <c r="E47" i="17" s="1"/>
  <c r="E52" i="17" s="1"/>
  <c r="F34" i="17"/>
  <c r="F37" i="17" s="1"/>
  <c r="G34" i="17"/>
  <c r="H34" i="17"/>
  <c r="H37" i="17" s="1"/>
  <c r="I34" i="17"/>
  <c r="I35" i="17"/>
  <c r="G37" i="17"/>
  <c r="G47" i="17" s="1"/>
  <c r="I40" i="17"/>
  <c r="AL181" i="40" s="1"/>
  <c r="I41" i="17"/>
  <c r="AL184" i="40" s="1"/>
  <c r="I42" i="17"/>
  <c r="AL185" i="40" s="1"/>
  <c r="I43" i="17"/>
  <c r="AL180" i="40" s="1"/>
  <c r="I44" i="17"/>
  <c r="AL179" i="40" s="1"/>
  <c r="D45" i="17"/>
  <c r="E45" i="17"/>
  <c r="F45" i="17"/>
  <c r="G45" i="17"/>
  <c r="H45" i="17"/>
  <c r="I56" i="17"/>
  <c r="C1" i="16"/>
  <c r="E1" i="16"/>
  <c r="I6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K19" i="29" s="1"/>
  <c r="D22" i="16"/>
  <c r="E22" i="16"/>
  <c r="F22" i="16"/>
  <c r="G22" i="16"/>
  <c r="G24" i="16" s="1"/>
  <c r="G60" i="16" s="1"/>
  <c r="H22" i="16"/>
  <c r="H24" i="16" s="1"/>
  <c r="H60" i="16" s="1"/>
  <c r="D24" i="16"/>
  <c r="D60" i="16" s="1"/>
  <c r="E24" i="16"/>
  <c r="E60" i="16" s="1"/>
  <c r="F24" i="16"/>
  <c r="F60" i="16" s="1"/>
  <c r="I27" i="16"/>
  <c r="I33" i="16"/>
  <c r="I35" i="16"/>
  <c r="I36" i="16"/>
  <c r="AN124" i="40" s="1"/>
  <c r="I37" i="16"/>
  <c r="I38" i="16"/>
  <c r="I39" i="16"/>
  <c r="I40" i="16"/>
  <c r="I41" i="16"/>
  <c r="I42" i="16"/>
  <c r="I43" i="16"/>
  <c r="D44" i="16"/>
  <c r="E44" i="16"/>
  <c r="E47" i="16" s="1"/>
  <c r="F44" i="16"/>
  <c r="F47" i="16" s="1"/>
  <c r="F57" i="16" s="1"/>
  <c r="G44" i="16"/>
  <c r="H44" i="16"/>
  <c r="I44" i="16"/>
  <c r="I45" i="16"/>
  <c r="D47" i="16"/>
  <c r="H47" i="16"/>
  <c r="I50" i="16"/>
  <c r="I51" i="16"/>
  <c r="I47" i="22" s="1"/>
  <c r="I52" i="16"/>
  <c r="AN185" i="40" s="1"/>
  <c r="I53" i="16"/>
  <c r="AN180" i="40" s="1"/>
  <c r="I54" i="16"/>
  <c r="AN179" i="40" s="1"/>
  <c r="D55" i="16"/>
  <c r="E55" i="16"/>
  <c r="F55" i="16"/>
  <c r="G55" i="16"/>
  <c r="H55" i="16"/>
  <c r="I66" i="16"/>
  <c r="C1" i="37"/>
  <c r="E1" i="37"/>
  <c r="I6" i="37"/>
  <c r="AJ7" i="40" s="1"/>
  <c r="I8" i="37"/>
  <c r="I9" i="37"/>
  <c r="I10" i="37"/>
  <c r="I11" i="37"/>
  <c r="I12" i="37"/>
  <c r="I13" i="37"/>
  <c r="AJ12" i="40" s="1"/>
  <c r="I14" i="37"/>
  <c r="I15" i="37"/>
  <c r="I16" i="37"/>
  <c r="I17" i="37"/>
  <c r="I18" i="37"/>
  <c r="AJ16" i="40" s="1"/>
  <c r="I19" i="37"/>
  <c r="AJ25" i="40" s="1"/>
  <c r="I20" i="37"/>
  <c r="I21" i="37"/>
  <c r="I22" i="37"/>
  <c r="I23" i="37"/>
  <c r="D25" i="37"/>
  <c r="E25" i="37"/>
  <c r="F25" i="37"/>
  <c r="G25" i="37"/>
  <c r="G27" i="37" s="1"/>
  <c r="G93" i="37" s="1"/>
  <c r="H25" i="37"/>
  <c r="D27" i="37"/>
  <c r="D93" i="37" s="1"/>
  <c r="E27" i="37"/>
  <c r="F27" i="37"/>
  <c r="H27" i="37"/>
  <c r="I30" i="37"/>
  <c r="I35" i="37"/>
  <c r="AJ33" i="40" s="1"/>
  <c r="I36" i="37"/>
  <c r="AJ34" i="40" s="1"/>
  <c r="I37" i="37"/>
  <c r="I38" i="37"/>
  <c r="I39" i="37"/>
  <c r="I40" i="37"/>
  <c r="AJ36" i="40" s="1"/>
  <c r="I41" i="37"/>
  <c r="I42" i="37"/>
  <c r="I43" i="37"/>
  <c r="I44" i="37"/>
  <c r="I45" i="37"/>
  <c r="I46" i="37"/>
  <c r="I47" i="37"/>
  <c r="I48" i="37"/>
  <c r="I49" i="37"/>
  <c r="AJ38" i="40" s="1"/>
  <c r="D51" i="37"/>
  <c r="D80" i="37" s="1"/>
  <c r="D90" i="37" s="1"/>
  <c r="D95" i="37" s="1"/>
  <c r="E51" i="37"/>
  <c r="F51" i="37"/>
  <c r="G51" i="37"/>
  <c r="H51" i="37"/>
  <c r="I54" i="37"/>
  <c r="AJ42" i="40" s="1"/>
  <c r="I55" i="37"/>
  <c r="AJ43" i="40" s="1"/>
  <c r="I56" i="37"/>
  <c r="I57" i="37"/>
  <c r="I58" i="37"/>
  <c r="I59" i="37"/>
  <c r="AJ45" i="40" s="1"/>
  <c r="I60" i="37"/>
  <c r="I61" i="37"/>
  <c r="I62" i="37"/>
  <c r="I63" i="37"/>
  <c r="I64" i="37"/>
  <c r="I65" i="37"/>
  <c r="I66" i="37"/>
  <c r="I67" i="37"/>
  <c r="I68" i="37"/>
  <c r="AJ47" i="40" s="1"/>
  <c r="D70" i="37"/>
  <c r="E70" i="37"/>
  <c r="F70" i="37"/>
  <c r="G70" i="37"/>
  <c r="H70" i="37"/>
  <c r="I73" i="37"/>
  <c r="I74" i="37"/>
  <c r="D76" i="37"/>
  <c r="D78" i="37" s="1"/>
  <c r="E76" i="37"/>
  <c r="F76" i="37"/>
  <c r="G76" i="37"/>
  <c r="H76" i="37"/>
  <c r="H78" i="37" s="1"/>
  <c r="E78" i="37"/>
  <c r="F78" i="37"/>
  <c r="F80" i="37" s="1"/>
  <c r="F90" i="37" s="1"/>
  <c r="F95" i="37" s="1"/>
  <c r="G78" i="37"/>
  <c r="I83" i="37"/>
  <c r="AJ181" i="40" s="1"/>
  <c r="I84" i="37"/>
  <c r="I85" i="37"/>
  <c r="AJ185" i="40" s="1"/>
  <c r="I86" i="37"/>
  <c r="AJ180" i="40" s="1"/>
  <c r="I87" i="37"/>
  <c r="AJ179" i="40" s="1"/>
  <c r="D88" i="37"/>
  <c r="E88" i="37"/>
  <c r="F88" i="37"/>
  <c r="G88" i="37"/>
  <c r="H88" i="37"/>
  <c r="E93" i="37"/>
  <c r="F93" i="37"/>
  <c r="H93" i="37"/>
  <c r="C1" i="14"/>
  <c r="E1" i="14"/>
  <c r="I6" i="14"/>
  <c r="I8" i="14"/>
  <c r="I9" i="14"/>
  <c r="I10" i="14"/>
  <c r="I11" i="14"/>
  <c r="I12" i="14"/>
  <c r="I13" i="14"/>
  <c r="D15" i="14"/>
  <c r="D17" i="14" s="1"/>
  <c r="D43" i="14" s="1"/>
  <c r="D45" i="14" s="1"/>
  <c r="E15" i="14"/>
  <c r="F15" i="14"/>
  <c r="F17" i="14" s="1"/>
  <c r="F43" i="14" s="1"/>
  <c r="G15" i="14"/>
  <c r="H15" i="14"/>
  <c r="H17" i="14" s="1"/>
  <c r="H43" i="14" s="1"/>
  <c r="E17" i="14"/>
  <c r="E43" i="14" s="1"/>
  <c r="E45" i="14" s="1"/>
  <c r="G17" i="14"/>
  <c r="G43" i="14" s="1"/>
  <c r="I21" i="14"/>
  <c r="AH33" i="40" s="1"/>
  <c r="I22" i="14"/>
  <c r="AH35" i="40" s="1"/>
  <c r="I23" i="14"/>
  <c r="AH36" i="40" s="1"/>
  <c r="I24" i="14"/>
  <c r="I25" i="14"/>
  <c r="I26" i="14"/>
  <c r="I30" i="14" s="1"/>
  <c r="E12" i="32" s="1"/>
  <c r="E18" i="32" s="1"/>
  <c r="E22" i="32" s="1"/>
  <c r="I27" i="14"/>
  <c r="I28" i="14"/>
  <c r="AH38" i="40" s="1"/>
  <c r="D30" i="14"/>
  <c r="E30" i="14"/>
  <c r="F30" i="14"/>
  <c r="G30" i="14"/>
  <c r="G40" i="14" s="1"/>
  <c r="H30" i="14"/>
  <c r="I33" i="14"/>
  <c r="AH181" i="40" s="1"/>
  <c r="I34" i="14"/>
  <c r="I38" i="14" s="1"/>
  <c r="I35" i="14"/>
  <c r="AH185" i="40" s="1"/>
  <c r="I36" i="14"/>
  <c r="AH180" i="40" s="1"/>
  <c r="I37" i="14"/>
  <c r="AH179" i="40" s="1"/>
  <c r="D38" i="14"/>
  <c r="D40" i="14" s="1"/>
  <c r="E38" i="14"/>
  <c r="F38" i="14"/>
  <c r="F40" i="14" s="1"/>
  <c r="F45" i="14" s="1"/>
  <c r="G38" i="14"/>
  <c r="H38" i="14"/>
  <c r="H40" i="14" s="1"/>
  <c r="H45" i="14" s="1"/>
  <c r="G45" i="14"/>
  <c r="C1" i="13"/>
  <c r="E1" i="13"/>
  <c r="I6" i="13"/>
  <c r="AF7" i="40" s="1"/>
  <c r="I8" i="13"/>
  <c r="I9" i="13"/>
  <c r="I10" i="13"/>
  <c r="I11" i="13"/>
  <c r="AF16" i="40" s="1"/>
  <c r="I12" i="13"/>
  <c r="I13" i="13"/>
  <c r="I14" i="13"/>
  <c r="I15" i="13"/>
  <c r="AF25" i="40" s="1"/>
  <c r="I16" i="13"/>
  <c r="D18" i="13"/>
  <c r="D20" i="13" s="1"/>
  <c r="D56" i="13" s="1"/>
  <c r="E18" i="13"/>
  <c r="F18" i="13"/>
  <c r="G18" i="13"/>
  <c r="G20" i="13" s="1"/>
  <c r="G56" i="13" s="1"/>
  <c r="G58" i="13" s="1"/>
  <c r="H18" i="13"/>
  <c r="H20" i="13" s="1"/>
  <c r="H56" i="13" s="1"/>
  <c r="E20" i="13"/>
  <c r="E56" i="13" s="1"/>
  <c r="F20" i="13"/>
  <c r="F56" i="13" s="1"/>
  <c r="I23" i="13"/>
  <c r="I40" i="13" s="1"/>
  <c r="I27" i="13"/>
  <c r="AF159" i="40" s="1"/>
  <c r="I28" i="13"/>
  <c r="AF161" i="40" s="1"/>
  <c r="I29" i="13"/>
  <c r="AF162" i="40" s="1"/>
  <c r="I30" i="13"/>
  <c r="I31" i="13"/>
  <c r="I32" i="13"/>
  <c r="I33" i="13"/>
  <c r="I34" i="13"/>
  <c r="I35" i="13"/>
  <c r="I36" i="13"/>
  <c r="I37" i="13"/>
  <c r="I38" i="13"/>
  <c r="I39" i="13"/>
  <c r="D40" i="13"/>
  <c r="D43" i="13" s="1"/>
  <c r="E40" i="13"/>
  <c r="F40" i="13"/>
  <c r="F43" i="13" s="1"/>
  <c r="G40" i="13"/>
  <c r="H40" i="13"/>
  <c r="H43" i="13" s="1"/>
  <c r="I41" i="13"/>
  <c r="E43" i="13"/>
  <c r="E53" i="13" s="1"/>
  <c r="E58" i="13" s="1"/>
  <c r="G43" i="13"/>
  <c r="G53" i="13" s="1"/>
  <c r="I46" i="13"/>
  <c r="AF181" i="40" s="1"/>
  <c r="I47" i="13"/>
  <c r="I48" i="13"/>
  <c r="AF185" i="40" s="1"/>
  <c r="I49" i="13"/>
  <c r="AF180" i="40" s="1"/>
  <c r="I50" i="13"/>
  <c r="AF179" i="40" s="1"/>
  <c r="D51" i="13"/>
  <c r="E51" i="13"/>
  <c r="F51" i="13"/>
  <c r="G51" i="13"/>
  <c r="H51" i="13"/>
  <c r="C1" i="55"/>
  <c r="E1" i="55"/>
  <c r="I6" i="55"/>
  <c r="AD7" i="40" s="1"/>
  <c r="I8" i="55"/>
  <c r="I9" i="55"/>
  <c r="I10" i="55"/>
  <c r="I11" i="55"/>
  <c r="I12" i="55"/>
  <c r="I13" i="55"/>
  <c r="I14" i="55"/>
  <c r="I15" i="55"/>
  <c r="AD12" i="40" s="1"/>
  <c r="AD18" i="40" s="1"/>
  <c r="I16" i="55"/>
  <c r="I17" i="55"/>
  <c r="I18" i="55"/>
  <c r="I19" i="55"/>
  <c r="AD25" i="40" s="1"/>
  <c r="I20" i="55"/>
  <c r="D22" i="55"/>
  <c r="D24" i="55" s="1"/>
  <c r="D49" i="55" s="1"/>
  <c r="E22" i="55"/>
  <c r="F22" i="55"/>
  <c r="G22" i="55"/>
  <c r="H22" i="55"/>
  <c r="H24" i="55" s="1"/>
  <c r="H49" i="55" s="1"/>
  <c r="E24" i="55"/>
  <c r="F24" i="55"/>
  <c r="F49" i="55" s="1"/>
  <c r="G24" i="55"/>
  <c r="I27" i="55"/>
  <c r="I32" i="55"/>
  <c r="I33" i="55"/>
  <c r="D34" i="55"/>
  <c r="D37" i="55" s="1"/>
  <c r="D46" i="55" s="1"/>
  <c r="E34" i="55"/>
  <c r="E37" i="55" s="1"/>
  <c r="E46" i="55" s="1"/>
  <c r="F34" i="55"/>
  <c r="F37" i="55" s="1"/>
  <c r="F46" i="55" s="1"/>
  <c r="G34" i="55"/>
  <c r="H34" i="55"/>
  <c r="H37" i="55" s="1"/>
  <c r="I34" i="55"/>
  <c r="I35" i="55"/>
  <c r="G37" i="55"/>
  <c r="I37" i="55"/>
  <c r="I40" i="55"/>
  <c r="I41" i="55"/>
  <c r="AD185" i="40" s="1"/>
  <c r="I42" i="55"/>
  <c r="I43" i="55"/>
  <c r="AD179" i="40" s="1"/>
  <c r="D44" i="55"/>
  <c r="E44" i="55"/>
  <c r="F44" i="55"/>
  <c r="G44" i="55"/>
  <c r="H44" i="55"/>
  <c r="E49" i="55"/>
  <c r="G49" i="55"/>
  <c r="C1" i="12"/>
  <c r="E1" i="12"/>
  <c r="I6" i="12"/>
  <c r="AC7" i="40" s="1"/>
  <c r="I8" i="12"/>
  <c r="I9" i="12"/>
  <c r="I10" i="12"/>
  <c r="I11" i="12"/>
  <c r="I12" i="12"/>
  <c r="I13" i="12"/>
  <c r="I14" i="12"/>
  <c r="I15" i="12"/>
  <c r="AC12" i="40" s="1"/>
  <c r="I16" i="12"/>
  <c r="I17" i="12"/>
  <c r="I18" i="12"/>
  <c r="I19" i="12"/>
  <c r="AC25" i="40" s="1"/>
  <c r="I20" i="12"/>
  <c r="D22" i="12"/>
  <c r="E22" i="12"/>
  <c r="F22" i="12"/>
  <c r="F24" i="12" s="1"/>
  <c r="G22" i="12"/>
  <c r="G24" i="12" s="1"/>
  <c r="G49" i="12" s="1"/>
  <c r="H22" i="12"/>
  <c r="I22" i="12"/>
  <c r="I24" i="12" s="1"/>
  <c r="D24" i="12"/>
  <c r="D49" i="12" s="1"/>
  <c r="E24" i="12"/>
  <c r="E49" i="12" s="1"/>
  <c r="H24" i="12"/>
  <c r="I27" i="12"/>
  <c r="I32" i="12"/>
  <c r="I33" i="12"/>
  <c r="D34" i="12"/>
  <c r="D37" i="12" s="1"/>
  <c r="D46" i="12" s="1"/>
  <c r="D51" i="12" s="1"/>
  <c r="E34" i="12"/>
  <c r="F34" i="12"/>
  <c r="F37" i="12" s="1"/>
  <c r="G34" i="12"/>
  <c r="H34" i="12"/>
  <c r="H37" i="12" s="1"/>
  <c r="H46" i="12" s="1"/>
  <c r="H51" i="12" s="1"/>
  <c r="I34" i="12"/>
  <c r="I35" i="12"/>
  <c r="B21" i="32" s="1"/>
  <c r="H21" i="32" s="1"/>
  <c r="E37" i="12"/>
  <c r="E46" i="12" s="1"/>
  <c r="E51" i="12" s="1"/>
  <c r="G37" i="12"/>
  <c r="I40" i="12"/>
  <c r="AC181" i="40" s="1"/>
  <c r="I41" i="12"/>
  <c r="AC185" i="40" s="1"/>
  <c r="I42" i="12"/>
  <c r="I43" i="12"/>
  <c r="AC179" i="40" s="1"/>
  <c r="D44" i="12"/>
  <c r="E44" i="12"/>
  <c r="F44" i="12"/>
  <c r="G44" i="12"/>
  <c r="H44" i="12"/>
  <c r="F49" i="12"/>
  <c r="H49" i="12"/>
  <c r="C1" i="11"/>
  <c r="E1" i="11"/>
  <c r="I7" i="11"/>
  <c r="X7" i="40" s="1"/>
  <c r="I9" i="11"/>
  <c r="I10" i="11"/>
  <c r="I11" i="11"/>
  <c r="X14" i="40" s="1"/>
  <c r="I12" i="11"/>
  <c r="I13" i="11"/>
  <c r="I14" i="11"/>
  <c r="X27" i="40" s="1"/>
  <c r="D16" i="11"/>
  <c r="D18" i="11" s="1"/>
  <c r="D72" i="11" s="1"/>
  <c r="E16" i="11"/>
  <c r="E18" i="11" s="1"/>
  <c r="F16" i="11"/>
  <c r="G16" i="11"/>
  <c r="H16" i="11"/>
  <c r="F18" i="11"/>
  <c r="G18" i="11"/>
  <c r="G72" i="11" s="1"/>
  <c r="H18" i="11"/>
  <c r="H72" i="11" s="1"/>
  <c r="I21" i="11"/>
  <c r="I26" i="11"/>
  <c r="X33" i="40" s="1"/>
  <c r="I27" i="11"/>
  <c r="I28" i="11"/>
  <c r="I29" i="11"/>
  <c r="I30" i="11"/>
  <c r="I31" i="11"/>
  <c r="X36" i="40" s="1"/>
  <c r="I32" i="11"/>
  <c r="I33" i="11"/>
  <c r="I34" i="11"/>
  <c r="X38" i="40" s="1"/>
  <c r="D36" i="11"/>
  <c r="E36" i="11"/>
  <c r="F36" i="11"/>
  <c r="G36" i="11"/>
  <c r="H36" i="11"/>
  <c r="H59" i="11" s="1"/>
  <c r="H69" i="11" s="1"/>
  <c r="H74" i="11" s="1"/>
  <c r="I39" i="11"/>
  <c r="I40" i="11"/>
  <c r="X43" i="40" s="1"/>
  <c r="I41" i="11"/>
  <c r="I42" i="11"/>
  <c r="I43" i="11"/>
  <c r="I44" i="11"/>
  <c r="X45" i="40" s="1"/>
  <c r="I45" i="11"/>
  <c r="I46" i="11"/>
  <c r="I47" i="11"/>
  <c r="X47" i="40" s="1"/>
  <c r="D49" i="11"/>
  <c r="E49" i="11"/>
  <c r="F49" i="11"/>
  <c r="G49" i="11"/>
  <c r="H49" i="11"/>
  <c r="I52" i="11"/>
  <c r="I57" i="11" s="1"/>
  <c r="J20" i="30" s="1"/>
  <c r="I53" i="11"/>
  <c r="D55" i="11"/>
  <c r="E55" i="11"/>
  <c r="F55" i="11"/>
  <c r="F57" i="11" s="1"/>
  <c r="G55" i="11"/>
  <c r="H55" i="11"/>
  <c r="I55" i="11"/>
  <c r="D57" i="11"/>
  <c r="E57" i="11"/>
  <c r="G57" i="11"/>
  <c r="H57" i="11"/>
  <c r="I62" i="11"/>
  <c r="I63" i="11"/>
  <c r="X184" i="40" s="1"/>
  <c r="I64" i="11"/>
  <c r="X185" i="40" s="1"/>
  <c r="I65" i="11"/>
  <c r="X180" i="40" s="1"/>
  <c r="I66" i="11"/>
  <c r="X179" i="40" s="1"/>
  <c r="D67" i="11"/>
  <c r="E67" i="11"/>
  <c r="F67" i="11"/>
  <c r="G67" i="11"/>
  <c r="H67" i="11"/>
  <c r="E72" i="11"/>
  <c r="F72" i="11"/>
  <c r="C1" i="10"/>
  <c r="E1" i="10"/>
  <c r="I6" i="10"/>
  <c r="V7" i="40" s="1"/>
  <c r="I8" i="10"/>
  <c r="I9" i="10"/>
  <c r="I20" i="10" s="1"/>
  <c r="I22" i="10" s="1"/>
  <c r="I10" i="10"/>
  <c r="I11" i="10"/>
  <c r="I12" i="10"/>
  <c r="I13" i="10"/>
  <c r="I14" i="10"/>
  <c r="I15" i="10"/>
  <c r="I16" i="10"/>
  <c r="I17" i="10"/>
  <c r="V25" i="40" s="1"/>
  <c r="I18" i="10"/>
  <c r="D20" i="10"/>
  <c r="E20" i="10"/>
  <c r="E22" i="10" s="1"/>
  <c r="E50" i="10" s="1"/>
  <c r="F20" i="10"/>
  <c r="F22" i="10" s="1"/>
  <c r="F50" i="10" s="1"/>
  <c r="G20" i="10"/>
  <c r="G22" i="10" s="1"/>
  <c r="H20" i="10"/>
  <c r="D22" i="10"/>
  <c r="D50" i="10" s="1"/>
  <c r="H22" i="10"/>
  <c r="H50" i="10" s="1"/>
  <c r="I26" i="10"/>
  <c r="I27" i="10"/>
  <c r="V43" i="40" s="1"/>
  <c r="I28" i="10"/>
  <c r="I29" i="10"/>
  <c r="I30" i="10"/>
  <c r="I31" i="10"/>
  <c r="V45" i="40" s="1"/>
  <c r="I32" i="10"/>
  <c r="I33" i="10"/>
  <c r="I34" i="10"/>
  <c r="I35" i="10"/>
  <c r="V47" i="40" s="1"/>
  <c r="D37" i="10"/>
  <c r="E37" i="10"/>
  <c r="F37" i="10"/>
  <c r="F47" i="10" s="1"/>
  <c r="F52" i="10" s="1"/>
  <c r="G37" i="10"/>
  <c r="H37" i="10"/>
  <c r="I40" i="10"/>
  <c r="I41" i="10"/>
  <c r="I42" i="10"/>
  <c r="V185" i="40" s="1"/>
  <c r="I43" i="10"/>
  <c r="V180" i="40" s="1"/>
  <c r="I44" i="10"/>
  <c r="V179" i="40" s="1"/>
  <c r="D45" i="10"/>
  <c r="E45" i="10"/>
  <c r="F45" i="10"/>
  <c r="G45" i="10"/>
  <c r="G47" i="10" s="1"/>
  <c r="H45" i="10"/>
  <c r="G50" i="10"/>
  <c r="C1" i="54"/>
  <c r="E1" i="54"/>
  <c r="I6" i="54"/>
  <c r="T7" i="40" s="1"/>
  <c r="I8" i="54"/>
  <c r="I9" i="54"/>
  <c r="I10" i="54"/>
  <c r="I11" i="54"/>
  <c r="I12" i="54"/>
  <c r="I13" i="54"/>
  <c r="I14" i="54"/>
  <c r="I15" i="54"/>
  <c r="I16" i="54"/>
  <c r="T14" i="40" s="1"/>
  <c r="I17" i="54"/>
  <c r="I18" i="54"/>
  <c r="T27" i="40" s="1"/>
  <c r="D20" i="54"/>
  <c r="D22" i="54" s="1"/>
  <c r="D51" i="54" s="1"/>
  <c r="E20" i="54"/>
  <c r="F20" i="54"/>
  <c r="F22" i="54" s="1"/>
  <c r="G20" i="54"/>
  <c r="H20" i="54"/>
  <c r="H22" i="54" s="1"/>
  <c r="H51" i="54" s="1"/>
  <c r="E22" i="54"/>
  <c r="E51" i="54" s="1"/>
  <c r="E53" i="54" s="1"/>
  <c r="G22" i="54"/>
  <c r="G51" i="54" s="1"/>
  <c r="I26" i="54"/>
  <c r="I28" i="54"/>
  <c r="I29" i="54"/>
  <c r="I30" i="54"/>
  <c r="I31" i="54"/>
  <c r="I32" i="54"/>
  <c r="T36" i="40" s="1"/>
  <c r="I33" i="54"/>
  <c r="I34" i="54"/>
  <c r="I35" i="54"/>
  <c r="I36" i="54"/>
  <c r="T38" i="40" s="1"/>
  <c r="D38" i="54"/>
  <c r="E38" i="54"/>
  <c r="F38" i="54"/>
  <c r="H38" i="54"/>
  <c r="H48" i="54" s="1"/>
  <c r="H53" i="54" s="1"/>
  <c r="I41" i="54"/>
  <c r="T181" i="40" s="1"/>
  <c r="I42" i="54"/>
  <c r="I43" i="54"/>
  <c r="T185" i="40" s="1"/>
  <c r="I44" i="54"/>
  <c r="T180" i="40" s="1"/>
  <c r="I45" i="54"/>
  <c r="T179" i="40" s="1"/>
  <c r="D46" i="54"/>
  <c r="E46" i="54"/>
  <c r="F46" i="54"/>
  <c r="F48" i="54" s="1"/>
  <c r="F53" i="54" s="1"/>
  <c r="G46" i="54"/>
  <c r="H46" i="54"/>
  <c r="F51" i="54"/>
  <c r="C1" i="8"/>
  <c r="E1" i="8"/>
  <c r="I6" i="8"/>
  <c r="I8" i="8"/>
  <c r="I9" i="8"/>
  <c r="I10" i="8"/>
  <c r="I11" i="8"/>
  <c r="R12" i="40" s="1"/>
  <c r="I12" i="8"/>
  <c r="I13" i="8"/>
  <c r="R16" i="40" s="1"/>
  <c r="I14" i="8"/>
  <c r="I15" i="8"/>
  <c r="D17" i="8"/>
  <c r="D19" i="8" s="1"/>
  <c r="D70" i="8" s="1"/>
  <c r="E17" i="8"/>
  <c r="F17" i="8"/>
  <c r="F19" i="8" s="1"/>
  <c r="F70" i="8" s="1"/>
  <c r="G17" i="8"/>
  <c r="H17" i="8"/>
  <c r="H19" i="8" s="1"/>
  <c r="H70" i="8" s="1"/>
  <c r="E19" i="8"/>
  <c r="G19" i="8"/>
  <c r="G70" i="8" s="1"/>
  <c r="I22" i="8"/>
  <c r="I52" i="8" s="1"/>
  <c r="R47" i="40" s="1"/>
  <c r="I30" i="8"/>
  <c r="I32" i="8"/>
  <c r="I33" i="8"/>
  <c r="I34" i="8"/>
  <c r="I35" i="8"/>
  <c r="I36" i="8"/>
  <c r="R36" i="40" s="1"/>
  <c r="I37" i="8"/>
  <c r="I38" i="8"/>
  <c r="I39" i="8"/>
  <c r="R38" i="40" s="1"/>
  <c r="D41" i="8"/>
  <c r="E41" i="8"/>
  <c r="F41" i="8"/>
  <c r="H41" i="8"/>
  <c r="I44" i="8"/>
  <c r="R42" i="40" s="1"/>
  <c r="I45" i="8"/>
  <c r="I46" i="8"/>
  <c r="I47" i="8"/>
  <c r="I48" i="8"/>
  <c r="I49" i="8"/>
  <c r="R45" i="40" s="1"/>
  <c r="I50" i="8"/>
  <c r="I51" i="8"/>
  <c r="D52" i="8"/>
  <c r="D55" i="8" s="1"/>
  <c r="E52" i="8"/>
  <c r="E55" i="8" s="1"/>
  <c r="E57" i="8" s="1"/>
  <c r="F52" i="8"/>
  <c r="F55" i="8" s="1"/>
  <c r="G52" i="8"/>
  <c r="G55" i="8" s="1"/>
  <c r="H52" i="8"/>
  <c r="H55" i="8" s="1"/>
  <c r="I53" i="8"/>
  <c r="I60" i="8"/>
  <c r="R181" i="40" s="1"/>
  <c r="I61" i="8"/>
  <c r="I62" i="8"/>
  <c r="R185" i="40" s="1"/>
  <c r="I63" i="8"/>
  <c r="R180" i="40" s="1"/>
  <c r="I64" i="8"/>
  <c r="R179" i="40" s="1"/>
  <c r="D65" i="8"/>
  <c r="E65" i="8"/>
  <c r="F65" i="8"/>
  <c r="G65" i="8"/>
  <c r="H65" i="8"/>
  <c r="E70" i="8"/>
  <c r="J6" i="7"/>
  <c r="E23" i="7"/>
  <c r="F23" i="7"/>
  <c r="G23" i="7"/>
  <c r="G67" i="7" s="1"/>
  <c r="G88" i="7" s="1"/>
  <c r="I23" i="7"/>
  <c r="E50" i="7"/>
  <c r="F50" i="7"/>
  <c r="G50" i="7"/>
  <c r="I50" i="7"/>
  <c r="E65" i="7"/>
  <c r="F65" i="7"/>
  <c r="G65" i="7"/>
  <c r="I65" i="7"/>
  <c r="E67" i="7"/>
  <c r="F67" i="7"/>
  <c r="I67" i="7"/>
  <c r="J71" i="7"/>
  <c r="J75" i="7"/>
  <c r="J76" i="7"/>
  <c r="J77" i="7"/>
  <c r="J86" i="7" s="1"/>
  <c r="H19" i="29" s="1"/>
  <c r="J78" i="7"/>
  <c r="J79" i="7"/>
  <c r="J80" i="7"/>
  <c r="J81" i="7"/>
  <c r="J82" i="7"/>
  <c r="J83" i="7"/>
  <c r="J84" i="7"/>
  <c r="E86" i="7"/>
  <c r="F86" i="7"/>
  <c r="G86" i="7"/>
  <c r="H86" i="7"/>
  <c r="I86" i="7"/>
  <c r="F88" i="7"/>
  <c r="J91" i="7"/>
  <c r="E110" i="7"/>
  <c r="F110" i="7"/>
  <c r="G110" i="7"/>
  <c r="I110" i="7"/>
  <c r="E136" i="7"/>
  <c r="F136" i="7"/>
  <c r="G136" i="7"/>
  <c r="I136" i="7"/>
  <c r="E151" i="7"/>
  <c r="F151" i="7"/>
  <c r="G151" i="7"/>
  <c r="I151" i="7"/>
  <c r="E153" i="7"/>
  <c r="I153" i="7"/>
  <c r="J157" i="7"/>
  <c r="J158" i="7"/>
  <c r="J159" i="7"/>
  <c r="J160" i="7"/>
  <c r="J161" i="7"/>
  <c r="J162" i="7"/>
  <c r="J163" i="7"/>
  <c r="J164" i="7"/>
  <c r="J165" i="7"/>
  <c r="E166" i="7"/>
  <c r="E168" i="7" s="1"/>
  <c r="E170" i="7" s="1"/>
  <c r="E181" i="7" s="1"/>
  <c r="F166" i="7"/>
  <c r="F168" i="7" s="1"/>
  <c r="G166" i="7"/>
  <c r="H166" i="7"/>
  <c r="I166" i="7"/>
  <c r="I168" i="7" s="1"/>
  <c r="I170" i="7" s="1"/>
  <c r="J166" i="7"/>
  <c r="G168" i="7"/>
  <c r="H168" i="7"/>
  <c r="J168" i="7"/>
  <c r="J174" i="7"/>
  <c r="J175" i="7"/>
  <c r="J176" i="7"/>
  <c r="P185" i="40" s="1"/>
  <c r="J177" i="7"/>
  <c r="P180" i="40" s="1"/>
  <c r="J178" i="7"/>
  <c r="P179" i="40" s="1"/>
  <c r="E179" i="7"/>
  <c r="F179" i="7"/>
  <c r="G179" i="7"/>
  <c r="H179" i="7"/>
  <c r="I179" i="7"/>
  <c r="F184" i="7"/>
  <c r="G184" i="7"/>
  <c r="D1" i="47"/>
  <c r="E1" i="47"/>
  <c r="F1" i="47"/>
  <c r="R2" i="47" s="1"/>
  <c r="G1" i="47"/>
  <c r="H1" i="47"/>
  <c r="I1" i="47"/>
  <c r="I2" i="47" s="1"/>
  <c r="J1" i="47"/>
  <c r="K1" i="47"/>
  <c r="L1" i="47"/>
  <c r="M1" i="47"/>
  <c r="N1" i="47"/>
  <c r="O1" i="47"/>
  <c r="P1" i="47"/>
  <c r="P2" i="47" s="1"/>
  <c r="Q1" i="47"/>
  <c r="R1" i="47"/>
  <c r="S1" i="47"/>
  <c r="T1" i="47"/>
  <c r="U1" i="47"/>
  <c r="V1" i="47"/>
  <c r="W1" i="47"/>
  <c r="D2" i="47"/>
  <c r="E2" i="47"/>
  <c r="N2" i="47"/>
  <c r="Q2" i="47"/>
  <c r="X7" i="47"/>
  <c r="X8" i="47"/>
  <c r="X9" i="47"/>
  <c r="X10" i="47"/>
  <c r="D12" i="47"/>
  <c r="E12" i="47"/>
  <c r="E115" i="47" s="1"/>
  <c r="F12" i="47"/>
  <c r="G12" i="47"/>
  <c r="H12" i="47"/>
  <c r="H115" i="47" s="1"/>
  <c r="I12" i="47"/>
  <c r="J12" i="47"/>
  <c r="K12" i="47"/>
  <c r="L12" i="47"/>
  <c r="L115" i="47" s="1"/>
  <c r="M12" i="47"/>
  <c r="M115" i="47" s="1"/>
  <c r="N12" i="47"/>
  <c r="O12" i="47"/>
  <c r="P12" i="47"/>
  <c r="P115" i="47" s="1"/>
  <c r="Q12" i="47"/>
  <c r="Q115" i="47" s="1"/>
  <c r="R12" i="47"/>
  <c r="S12" i="47"/>
  <c r="T12" i="47"/>
  <c r="T115" i="47" s="1"/>
  <c r="U12" i="47"/>
  <c r="U115" i="47" s="1"/>
  <c r="V12" i="47"/>
  <c r="W12" i="47"/>
  <c r="X15" i="47"/>
  <c r="X17" i="47"/>
  <c r="X18" i="47"/>
  <c r="X19" i="47"/>
  <c r="X20" i="47"/>
  <c r="X21" i="47"/>
  <c r="X25" i="47"/>
  <c r="X27" i="47"/>
  <c r="X28" i="47"/>
  <c r="X29" i="47"/>
  <c r="X30" i="47"/>
  <c r="X31" i="47"/>
  <c r="X35" i="47"/>
  <c r="X37" i="47"/>
  <c r="X38" i="47"/>
  <c r="X39" i="47"/>
  <c r="X40" i="47"/>
  <c r="X41" i="47"/>
  <c r="X45" i="47"/>
  <c r="X47" i="47"/>
  <c r="X48" i="47"/>
  <c r="X49" i="47"/>
  <c r="X50" i="47"/>
  <c r="X51" i="47"/>
  <c r="X55" i="47"/>
  <c r="X57" i="47"/>
  <c r="X58" i="47"/>
  <c r="X59" i="47"/>
  <c r="X60" i="47"/>
  <c r="X61" i="47"/>
  <c r="X71" i="47"/>
  <c r="X73" i="47"/>
  <c r="X74" i="47"/>
  <c r="X75" i="47"/>
  <c r="X76" i="47"/>
  <c r="X77" i="47"/>
  <c r="X78" i="47"/>
  <c r="X82" i="47"/>
  <c r="X84" i="47"/>
  <c r="X85" i="47"/>
  <c r="X86" i="47"/>
  <c r="X87" i="47"/>
  <c r="X88" i="47"/>
  <c r="X94" i="47"/>
  <c r="X96" i="47"/>
  <c r="X97" i="47"/>
  <c r="X98" i="47"/>
  <c r="X99" i="47"/>
  <c r="X100" i="47"/>
  <c r="X101" i="47"/>
  <c r="X104" i="47"/>
  <c r="X106" i="47"/>
  <c r="X107" i="47"/>
  <c r="X111" i="47"/>
  <c r="X112" i="47"/>
  <c r="F115" i="47"/>
  <c r="G115" i="47"/>
  <c r="I115" i="47"/>
  <c r="J115" i="47"/>
  <c r="K115" i="47"/>
  <c r="N115" i="47"/>
  <c r="O115" i="47"/>
  <c r="R115" i="47"/>
  <c r="S115" i="47"/>
  <c r="V115" i="47"/>
  <c r="W115" i="47"/>
  <c r="C1" i="6"/>
  <c r="E1" i="6"/>
  <c r="I6" i="6"/>
  <c r="I8" i="6"/>
  <c r="I9" i="6"/>
  <c r="I10" i="6"/>
  <c r="I11" i="6"/>
  <c r="I12" i="6"/>
  <c r="I25" i="6" s="1"/>
  <c r="I13" i="6"/>
  <c r="I14" i="6"/>
  <c r="I15" i="6"/>
  <c r="I16" i="6"/>
  <c r="I17" i="6"/>
  <c r="I18" i="6"/>
  <c r="I19" i="6"/>
  <c r="I20" i="6"/>
  <c r="I21" i="6"/>
  <c r="I22" i="6"/>
  <c r="I23" i="6"/>
  <c r="E25" i="6"/>
  <c r="E27" i="6" s="1"/>
  <c r="E84" i="6" s="1"/>
  <c r="G25" i="6"/>
  <c r="G27" i="6" s="1"/>
  <c r="G84" i="6" s="1"/>
  <c r="H25" i="6"/>
  <c r="H27" i="6" s="1"/>
  <c r="H84" i="6" s="1"/>
  <c r="F27" i="6"/>
  <c r="F84" i="6" s="1"/>
  <c r="I30" i="6"/>
  <c r="I67" i="6" s="1"/>
  <c r="I35" i="6"/>
  <c r="I36" i="6"/>
  <c r="I37" i="6"/>
  <c r="I38" i="6"/>
  <c r="I39" i="6"/>
  <c r="I40" i="6"/>
  <c r="I41" i="6"/>
  <c r="I42" i="6"/>
  <c r="I43" i="6"/>
  <c r="I44" i="6"/>
  <c r="N38" i="40" s="1"/>
  <c r="E46" i="6"/>
  <c r="F46" i="6"/>
  <c r="F71" i="6" s="1"/>
  <c r="F81" i="6" s="1"/>
  <c r="G46" i="6"/>
  <c r="H46" i="6"/>
  <c r="H71" i="6" s="1"/>
  <c r="H81" i="6" s="1"/>
  <c r="I49" i="6"/>
  <c r="N44" i="40" s="1"/>
  <c r="I50" i="6"/>
  <c r="I51" i="6"/>
  <c r="I52" i="6"/>
  <c r="I53" i="6"/>
  <c r="I54" i="6"/>
  <c r="I55" i="6"/>
  <c r="I56" i="6"/>
  <c r="I57" i="6"/>
  <c r="I58" i="6"/>
  <c r="I59" i="6"/>
  <c r="N47" i="40" s="1"/>
  <c r="E61" i="6"/>
  <c r="F61" i="6"/>
  <c r="G61" i="6"/>
  <c r="G71" i="6" s="1"/>
  <c r="G81" i="6" s="1"/>
  <c r="H61" i="6"/>
  <c r="I64" i="6"/>
  <c r="N173" i="40" s="1"/>
  <c r="N174" i="40" s="1"/>
  <c r="I65" i="6"/>
  <c r="D67" i="6"/>
  <c r="E67" i="6"/>
  <c r="F67" i="6"/>
  <c r="G67" i="6"/>
  <c r="G69" i="6" s="1"/>
  <c r="H67" i="6"/>
  <c r="H69" i="6" s="1"/>
  <c r="D69" i="6"/>
  <c r="E69" i="6"/>
  <c r="E71" i="6" s="1"/>
  <c r="E81" i="6" s="1"/>
  <c r="E86" i="6" s="1"/>
  <c r="F69" i="6"/>
  <c r="I74" i="6"/>
  <c r="N181" i="40" s="1"/>
  <c r="I75" i="6"/>
  <c r="I76" i="6"/>
  <c r="N185" i="40" s="1"/>
  <c r="I77" i="6"/>
  <c r="N180" i="40" s="1"/>
  <c r="I78" i="6"/>
  <c r="N179" i="40" s="1"/>
  <c r="D79" i="6"/>
  <c r="E79" i="6"/>
  <c r="F79" i="6"/>
  <c r="G79" i="6"/>
  <c r="H79" i="6"/>
  <c r="J6" i="53"/>
  <c r="E23" i="53"/>
  <c r="F23" i="53"/>
  <c r="G23" i="53"/>
  <c r="I23" i="53"/>
  <c r="I67" i="53" s="1"/>
  <c r="I88" i="53" s="1"/>
  <c r="E50" i="53"/>
  <c r="F50" i="53"/>
  <c r="F67" i="53" s="1"/>
  <c r="F88" i="53" s="1"/>
  <c r="F184" i="53" s="1"/>
  <c r="G50" i="53"/>
  <c r="I50" i="53"/>
  <c r="E65" i="53"/>
  <c r="F65" i="53"/>
  <c r="G65" i="53"/>
  <c r="I65" i="53"/>
  <c r="G67" i="53"/>
  <c r="G88" i="53" s="1"/>
  <c r="G184" i="53" s="1"/>
  <c r="J71" i="53"/>
  <c r="J75" i="53"/>
  <c r="J86" i="53" s="1"/>
  <c r="F19" i="29" s="1"/>
  <c r="J76" i="53"/>
  <c r="J77" i="53"/>
  <c r="J78" i="53"/>
  <c r="J79" i="53"/>
  <c r="J80" i="53"/>
  <c r="J81" i="53"/>
  <c r="J82" i="53"/>
  <c r="J83" i="53"/>
  <c r="J84" i="53"/>
  <c r="E86" i="53"/>
  <c r="F86" i="53"/>
  <c r="G86" i="53"/>
  <c r="H86" i="53"/>
  <c r="I86" i="53"/>
  <c r="J91" i="53"/>
  <c r="J166" i="53" s="1"/>
  <c r="E110" i="53"/>
  <c r="F110" i="53"/>
  <c r="G110" i="53"/>
  <c r="I110" i="53"/>
  <c r="E136" i="53"/>
  <c r="F136" i="53"/>
  <c r="G136" i="53"/>
  <c r="I136" i="53"/>
  <c r="E151" i="53"/>
  <c r="F151" i="53"/>
  <c r="G151" i="53"/>
  <c r="I151" i="53"/>
  <c r="E153" i="53"/>
  <c r="F153" i="53"/>
  <c r="J157" i="53"/>
  <c r="J158" i="53"/>
  <c r="J159" i="53"/>
  <c r="J160" i="53"/>
  <c r="J168" i="53" s="1"/>
  <c r="J161" i="53"/>
  <c r="J162" i="53"/>
  <c r="J163" i="53"/>
  <c r="J164" i="53"/>
  <c r="J165" i="53"/>
  <c r="E166" i="53"/>
  <c r="F166" i="53"/>
  <c r="F168" i="53" s="1"/>
  <c r="G166" i="53"/>
  <c r="G168" i="53" s="1"/>
  <c r="H166" i="53"/>
  <c r="H168" i="53" s="1"/>
  <c r="I166" i="53"/>
  <c r="E168" i="53"/>
  <c r="I168" i="53"/>
  <c r="J174" i="53"/>
  <c r="L181" i="40" s="1"/>
  <c r="J175" i="53"/>
  <c r="J179" i="53" s="1"/>
  <c r="F26" i="30" s="1"/>
  <c r="J176" i="53"/>
  <c r="L185" i="40" s="1"/>
  <c r="J177" i="53"/>
  <c r="L180" i="40" s="1"/>
  <c r="J178" i="53"/>
  <c r="L179" i="40" s="1"/>
  <c r="E179" i="53"/>
  <c r="F179" i="53"/>
  <c r="G179" i="53"/>
  <c r="H179" i="53"/>
  <c r="I179" i="53"/>
  <c r="I184" i="53"/>
  <c r="D1" i="52"/>
  <c r="E1" i="52"/>
  <c r="F1" i="52"/>
  <c r="G1" i="52"/>
  <c r="H1" i="52"/>
  <c r="H2" i="52" s="1"/>
  <c r="I1" i="52"/>
  <c r="I2" i="52" s="1"/>
  <c r="J1" i="52"/>
  <c r="K1" i="52"/>
  <c r="L1" i="52"/>
  <c r="M1" i="52"/>
  <c r="N1" i="52"/>
  <c r="O1" i="52"/>
  <c r="P1" i="52"/>
  <c r="P2" i="52" s="1"/>
  <c r="Q1" i="52"/>
  <c r="Q2" i="52" s="1"/>
  <c r="R1" i="52"/>
  <c r="S1" i="52"/>
  <c r="T1" i="52"/>
  <c r="U1" i="52"/>
  <c r="V1" i="52"/>
  <c r="W1" i="52"/>
  <c r="D2" i="52"/>
  <c r="G2" i="52"/>
  <c r="X7" i="52"/>
  <c r="X8" i="52"/>
  <c r="X9" i="52"/>
  <c r="X10" i="52"/>
  <c r="D12" i="52"/>
  <c r="D115" i="52" s="1"/>
  <c r="E12" i="52"/>
  <c r="F12" i="52"/>
  <c r="G12" i="52"/>
  <c r="G115" i="52" s="1"/>
  <c r="H12" i="52"/>
  <c r="I12" i="52"/>
  <c r="J12" i="52"/>
  <c r="J115" i="52" s="1"/>
  <c r="K12" i="52"/>
  <c r="K115" i="52" s="1"/>
  <c r="L12" i="52"/>
  <c r="L115" i="52" s="1"/>
  <c r="M12" i="52"/>
  <c r="N12" i="52"/>
  <c r="O12" i="52"/>
  <c r="O115" i="52" s="1"/>
  <c r="P12" i="52"/>
  <c r="Q12" i="52"/>
  <c r="R12" i="52"/>
  <c r="R115" i="52" s="1"/>
  <c r="S12" i="52"/>
  <c r="S115" i="52" s="1"/>
  <c r="T12" i="52"/>
  <c r="T115" i="52" s="1"/>
  <c r="U12" i="52"/>
  <c r="V12" i="52"/>
  <c r="W12" i="52"/>
  <c r="W115" i="52" s="1"/>
  <c r="X15" i="52"/>
  <c r="X17" i="52"/>
  <c r="X18" i="52"/>
  <c r="X19" i="52"/>
  <c r="X20" i="52"/>
  <c r="X21" i="52"/>
  <c r="X25" i="52"/>
  <c r="X27" i="52"/>
  <c r="X28" i="52"/>
  <c r="X29" i="52"/>
  <c r="X30" i="52"/>
  <c r="X31" i="52"/>
  <c r="X35" i="52"/>
  <c r="X37" i="52"/>
  <c r="X38" i="52"/>
  <c r="X39" i="52"/>
  <c r="X40" i="52"/>
  <c r="X41" i="52"/>
  <c r="X45" i="52"/>
  <c r="X47" i="52"/>
  <c r="X48" i="52"/>
  <c r="X49" i="52"/>
  <c r="X50" i="52"/>
  <c r="X51" i="52"/>
  <c r="X55" i="52"/>
  <c r="X57" i="52"/>
  <c r="X58" i="52"/>
  <c r="X59" i="52"/>
  <c r="X60" i="52"/>
  <c r="X61" i="52"/>
  <c r="X71" i="52"/>
  <c r="X73" i="52"/>
  <c r="X74" i="52"/>
  <c r="X75" i="52"/>
  <c r="X76" i="52"/>
  <c r="X77" i="52"/>
  <c r="X78" i="52"/>
  <c r="X82" i="52"/>
  <c r="X84" i="52"/>
  <c r="X85" i="52"/>
  <c r="X86" i="52"/>
  <c r="X87" i="52"/>
  <c r="X88" i="52"/>
  <c r="X94" i="52"/>
  <c r="X96" i="52"/>
  <c r="X97" i="52"/>
  <c r="X98" i="52"/>
  <c r="X99" i="52"/>
  <c r="X100" i="52"/>
  <c r="X101" i="52"/>
  <c r="X104" i="52"/>
  <c r="X106" i="52"/>
  <c r="X107" i="52"/>
  <c r="X111" i="52"/>
  <c r="X112" i="52"/>
  <c r="E115" i="52"/>
  <c r="F115" i="52"/>
  <c r="H115" i="52"/>
  <c r="I115" i="52"/>
  <c r="M115" i="52"/>
  <c r="N115" i="52"/>
  <c r="P115" i="52"/>
  <c r="Q115" i="52"/>
  <c r="U115" i="52"/>
  <c r="V115" i="52"/>
  <c r="C1" i="34"/>
  <c r="E1" i="34"/>
  <c r="I7" i="34"/>
  <c r="I9" i="34"/>
  <c r="I17" i="34" s="1"/>
  <c r="I19" i="34" s="1"/>
  <c r="B13" i="27" s="1"/>
  <c r="I10" i="34"/>
  <c r="I11" i="34"/>
  <c r="I12" i="34"/>
  <c r="I13" i="34"/>
  <c r="I14" i="34"/>
  <c r="I15" i="34"/>
  <c r="D17" i="34"/>
  <c r="E17" i="34"/>
  <c r="E19" i="34" s="1"/>
  <c r="E130" i="34" s="1"/>
  <c r="F17" i="34"/>
  <c r="F19" i="34" s="1"/>
  <c r="F130" i="34" s="1"/>
  <c r="G17" i="34"/>
  <c r="H17" i="34"/>
  <c r="H19" i="34" s="1"/>
  <c r="H130" i="34" s="1"/>
  <c r="D19" i="34"/>
  <c r="D130" i="34" s="1"/>
  <c r="G19" i="34"/>
  <c r="G130" i="34" s="1"/>
  <c r="I22" i="34"/>
  <c r="I114" i="34" s="1"/>
  <c r="I29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J36" i="40" s="1"/>
  <c r="I51" i="34"/>
  <c r="I52" i="34"/>
  <c r="I53" i="34"/>
  <c r="I54" i="34"/>
  <c r="I55" i="34"/>
  <c r="I56" i="34"/>
  <c r="I57" i="34"/>
  <c r="I58" i="34"/>
  <c r="I59" i="34"/>
  <c r="D61" i="34"/>
  <c r="E61" i="34"/>
  <c r="F61" i="34"/>
  <c r="F116" i="34" s="1"/>
  <c r="F127" i="34" s="1"/>
  <c r="F132" i="34" s="1"/>
  <c r="H61" i="34"/>
  <c r="I76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D111" i="34"/>
  <c r="E111" i="34"/>
  <c r="F111" i="34"/>
  <c r="H111" i="34"/>
  <c r="I113" i="34"/>
  <c r="D114" i="34"/>
  <c r="E114" i="34"/>
  <c r="F114" i="34"/>
  <c r="G114" i="34"/>
  <c r="H114" i="34"/>
  <c r="H116" i="34"/>
  <c r="H127" i="34" s="1"/>
  <c r="H132" i="34" s="1"/>
  <c r="I120" i="34"/>
  <c r="J181" i="40" s="1"/>
  <c r="I121" i="34"/>
  <c r="I122" i="34"/>
  <c r="J185" i="40" s="1"/>
  <c r="I123" i="34"/>
  <c r="J180" i="40" s="1"/>
  <c r="I124" i="34"/>
  <c r="J179" i="40" s="1"/>
  <c r="D125" i="34"/>
  <c r="E125" i="34"/>
  <c r="F125" i="34"/>
  <c r="G125" i="34"/>
  <c r="H125" i="34"/>
  <c r="I125" i="34"/>
  <c r="E26" i="30" s="1"/>
  <c r="C1" i="9"/>
  <c r="E1" i="9"/>
  <c r="I6" i="9"/>
  <c r="I8" i="9"/>
  <c r="I9" i="9"/>
  <c r="I10" i="9"/>
  <c r="I11" i="9"/>
  <c r="I12" i="9"/>
  <c r="I13" i="9"/>
  <c r="I14" i="9"/>
  <c r="D16" i="9"/>
  <c r="D18" i="9" s="1"/>
  <c r="E16" i="9"/>
  <c r="F16" i="9"/>
  <c r="F18" i="9" s="1"/>
  <c r="F52" i="9" s="1"/>
  <c r="G16" i="9"/>
  <c r="G18" i="9" s="1"/>
  <c r="G52" i="9" s="1"/>
  <c r="H16" i="9"/>
  <c r="H18" i="9" s="1"/>
  <c r="H52" i="9" s="1"/>
  <c r="E18" i="9"/>
  <c r="E52" i="9" s="1"/>
  <c r="I21" i="9"/>
  <c r="I36" i="9" s="1"/>
  <c r="H173" i="40" s="1"/>
  <c r="H174" i="40" s="1"/>
  <c r="I25" i="9"/>
  <c r="I26" i="9"/>
  <c r="I27" i="9"/>
  <c r="I28" i="9"/>
  <c r="I29" i="9"/>
  <c r="H97" i="40" s="1"/>
  <c r="H101" i="40" s="1"/>
  <c r="I30" i="9"/>
  <c r="H124" i="40" s="1"/>
  <c r="H128" i="40" s="1"/>
  <c r="I31" i="9"/>
  <c r="I32" i="9"/>
  <c r="I33" i="9"/>
  <c r="I34" i="9"/>
  <c r="I35" i="9"/>
  <c r="D36" i="9"/>
  <c r="E36" i="9"/>
  <c r="E39" i="9" s="1"/>
  <c r="F36" i="9"/>
  <c r="F39" i="9" s="1"/>
  <c r="G36" i="9"/>
  <c r="G39" i="9" s="1"/>
  <c r="H36" i="9"/>
  <c r="I37" i="9"/>
  <c r="H91" i="40" s="1"/>
  <c r="D39" i="9"/>
  <c r="H39" i="9"/>
  <c r="I42" i="9"/>
  <c r="I43" i="9"/>
  <c r="I44" i="9"/>
  <c r="H185" i="40" s="1"/>
  <c r="I45" i="9"/>
  <c r="H180" i="40" s="1"/>
  <c r="I46" i="9"/>
  <c r="H179" i="40" s="1"/>
  <c r="D47" i="9"/>
  <c r="E47" i="9"/>
  <c r="F47" i="9"/>
  <c r="G47" i="9"/>
  <c r="H47" i="9"/>
  <c r="D52" i="9"/>
  <c r="C1" i="41"/>
  <c r="E1" i="41"/>
  <c r="I11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F45" i="40" s="1"/>
  <c r="I33" i="41"/>
  <c r="I34" i="41"/>
  <c r="I35" i="41"/>
  <c r="I36" i="41"/>
  <c r="I37" i="41"/>
  <c r="I38" i="41"/>
  <c r="I39" i="41"/>
  <c r="I40" i="41"/>
  <c r="I41" i="41"/>
  <c r="I42" i="41"/>
  <c r="I43" i="41"/>
  <c r="E44" i="41"/>
  <c r="F44" i="41"/>
  <c r="H44" i="41"/>
  <c r="I48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64" i="41"/>
  <c r="I65" i="41"/>
  <c r="I66" i="41"/>
  <c r="I67" i="41"/>
  <c r="I68" i="41"/>
  <c r="I69" i="41"/>
  <c r="I70" i="41"/>
  <c r="I71" i="41"/>
  <c r="I72" i="41"/>
  <c r="I73" i="41"/>
  <c r="I74" i="41"/>
  <c r="I75" i="41"/>
  <c r="I76" i="41"/>
  <c r="I77" i="41"/>
  <c r="I78" i="41"/>
  <c r="I79" i="41"/>
  <c r="I80" i="41"/>
  <c r="D81" i="41"/>
  <c r="E81" i="41"/>
  <c r="F81" i="41"/>
  <c r="H81" i="41"/>
  <c r="I85" i="41"/>
  <c r="I87" i="41"/>
  <c r="I88" i="41"/>
  <c r="I89" i="41"/>
  <c r="I90" i="41"/>
  <c r="I91" i="41"/>
  <c r="I92" i="41"/>
  <c r="I93" i="41"/>
  <c r="I94" i="41"/>
  <c r="I95" i="41"/>
  <c r="I96" i="41"/>
  <c r="I97" i="41"/>
  <c r="I98" i="41"/>
  <c r="I99" i="41"/>
  <c r="I100" i="41"/>
  <c r="I101" i="41"/>
  <c r="I102" i="41"/>
  <c r="I103" i="41"/>
  <c r="I104" i="41"/>
  <c r="I105" i="41"/>
  <c r="I106" i="41"/>
  <c r="I107" i="41"/>
  <c r="I108" i="41"/>
  <c r="I109" i="41"/>
  <c r="I110" i="41"/>
  <c r="I111" i="41"/>
  <c r="I112" i="41"/>
  <c r="I113" i="41"/>
  <c r="I114" i="41"/>
  <c r="I115" i="41"/>
  <c r="I116" i="41"/>
  <c r="I117" i="41"/>
  <c r="D118" i="41"/>
  <c r="E118" i="41"/>
  <c r="F118" i="41"/>
  <c r="H118" i="41"/>
  <c r="I122" i="41"/>
  <c r="I124" i="41"/>
  <c r="I125" i="41"/>
  <c r="I126" i="41"/>
  <c r="I127" i="41"/>
  <c r="I128" i="41"/>
  <c r="I129" i="41"/>
  <c r="I130" i="41"/>
  <c r="I131" i="41"/>
  <c r="I132" i="41"/>
  <c r="I133" i="41"/>
  <c r="I134" i="41"/>
  <c r="I135" i="41"/>
  <c r="I136" i="41"/>
  <c r="I137" i="41"/>
  <c r="I138" i="41"/>
  <c r="I139" i="41"/>
  <c r="I140" i="41"/>
  <c r="I141" i="41"/>
  <c r="I142" i="41"/>
  <c r="I143" i="41"/>
  <c r="I144" i="41"/>
  <c r="I145" i="41"/>
  <c r="I146" i="41"/>
  <c r="I147" i="41"/>
  <c r="I148" i="41"/>
  <c r="D149" i="41"/>
  <c r="E149" i="41"/>
  <c r="F149" i="41"/>
  <c r="H149" i="41"/>
  <c r="I153" i="41"/>
  <c r="I155" i="41"/>
  <c r="I156" i="41"/>
  <c r="I157" i="41"/>
  <c r="I158" i="41"/>
  <c r="I159" i="41"/>
  <c r="I160" i="41"/>
  <c r="I161" i="41"/>
  <c r="I162" i="41"/>
  <c r="I163" i="41"/>
  <c r="I164" i="41"/>
  <c r="I165" i="41"/>
  <c r="I166" i="41"/>
  <c r="I167" i="41"/>
  <c r="I168" i="41"/>
  <c r="I169" i="41"/>
  <c r="I170" i="41"/>
  <c r="I171" i="41"/>
  <c r="I172" i="41"/>
  <c r="I173" i="41"/>
  <c r="I174" i="41"/>
  <c r="I175" i="41"/>
  <c r="I176" i="41"/>
  <c r="I177" i="41"/>
  <c r="I178" i="41"/>
  <c r="I179" i="41"/>
  <c r="I180" i="41"/>
  <c r="I181" i="41"/>
  <c r="I182" i="41"/>
  <c r="I183" i="41"/>
  <c r="I184" i="41"/>
  <c r="I185" i="41"/>
  <c r="I186" i="41"/>
  <c r="E187" i="41"/>
  <c r="F187" i="41"/>
  <c r="H187" i="41"/>
  <c r="I191" i="41"/>
  <c r="I193" i="41"/>
  <c r="I194" i="41"/>
  <c r="I195" i="41"/>
  <c r="I196" i="41"/>
  <c r="I197" i="41"/>
  <c r="I198" i="41"/>
  <c r="I199" i="41"/>
  <c r="I200" i="41"/>
  <c r="I201" i="41"/>
  <c r="I202" i="41"/>
  <c r="I203" i="41"/>
  <c r="I204" i="41"/>
  <c r="I205" i="41"/>
  <c r="I206" i="41"/>
  <c r="I207" i="41"/>
  <c r="I208" i="41"/>
  <c r="I209" i="41"/>
  <c r="I210" i="41"/>
  <c r="I211" i="41"/>
  <c r="I212" i="41"/>
  <c r="I213" i="41"/>
  <c r="I214" i="41"/>
  <c r="I215" i="41"/>
  <c r="I216" i="41"/>
  <c r="I217" i="41"/>
  <c r="I222" i="41"/>
  <c r="I224" i="41"/>
  <c r="I225" i="41"/>
  <c r="I226" i="41"/>
  <c r="I227" i="41"/>
  <c r="I228" i="41"/>
  <c r="I229" i="41"/>
  <c r="I230" i="41"/>
  <c r="I231" i="41"/>
  <c r="I232" i="41"/>
  <c r="I233" i="41"/>
  <c r="I234" i="41"/>
  <c r="I235" i="41"/>
  <c r="I236" i="41"/>
  <c r="I237" i="41"/>
  <c r="I238" i="41"/>
  <c r="I239" i="41"/>
  <c r="I240" i="41"/>
  <c r="I241" i="41"/>
  <c r="I242" i="41"/>
  <c r="I243" i="41"/>
  <c r="I244" i="41"/>
  <c r="I245" i="41"/>
  <c r="I246" i="41"/>
  <c r="I247" i="41"/>
  <c r="I248" i="41"/>
  <c r="I249" i="41"/>
  <c r="I250" i="41"/>
  <c r="E251" i="41"/>
  <c r="F251" i="41"/>
  <c r="H251" i="41"/>
  <c r="I255" i="41"/>
  <c r="I257" i="41"/>
  <c r="I258" i="41"/>
  <c r="I259" i="41"/>
  <c r="I260" i="41"/>
  <c r="I261" i="41"/>
  <c r="I262" i="41"/>
  <c r="I263" i="41"/>
  <c r="I264" i="41"/>
  <c r="I265" i="41"/>
  <c r="I266" i="41"/>
  <c r="I267" i="41"/>
  <c r="I268" i="41"/>
  <c r="I269" i="41"/>
  <c r="I270" i="41"/>
  <c r="I271" i="41"/>
  <c r="I272" i="41"/>
  <c r="I273" i="41"/>
  <c r="I274" i="41"/>
  <c r="I275" i="41"/>
  <c r="I276" i="41"/>
  <c r="I277" i="41"/>
  <c r="I278" i="41"/>
  <c r="F98" i="40" s="1"/>
  <c r="I279" i="41"/>
  <c r="I280" i="41"/>
  <c r="I281" i="41"/>
  <c r="I282" i="41"/>
  <c r="I283" i="41"/>
  <c r="I284" i="41"/>
  <c r="I285" i="41"/>
  <c r="I286" i="41"/>
  <c r="I287" i="41"/>
  <c r="I288" i="41"/>
  <c r="I289" i="41"/>
  <c r="I290" i="41"/>
  <c r="I295" i="41"/>
  <c r="I297" i="41"/>
  <c r="I298" i="41"/>
  <c r="I299" i="41"/>
  <c r="I300" i="41"/>
  <c r="I301" i="41"/>
  <c r="I302" i="41"/>
  <c r="I303" i="41"/>
  <c r="I304" i="41"/>
  <c r="I305" i="41"/>
  <c r="I306" i="41"/>
  <c r="I307" i="41"/>
  <c r="I308" i="41"/>
  <c r="I309" i="41"/>
  <c r="I310" i="41"/>
  <c r="I311" i="41"/>
  <c r="F107" i="40" s="1"/>
  <c r="I312" i="41"/>
  <c r="I313" i="41"/>
  <c r="I314" i="41"/>
  <c r="I315" i="41"/>
  <c r="I316" i="41"/>
  <c r="I317" i="41"/>
  <c r="I318" i="41"/>
  <c r="I319" i="41"/>
  <c r="I320" i="41"/>
  <c r="I321" i="41"/>
  <c r="I322" i="41"/>
  <c r="I327" i="41"/>
  <c r="I329" i="41"/>
  <c r="I330" i="41"/>
  <c r="I331" i="41"/>
  <c r="I332" i="41"/>
  <c r="I333" i="41"/>
  <c r="I334" i="41"/>
  <c r="I335" i="41"/>
  <c r="I336" i="41"/>
  <c r="I337" i="41"/>
  <c r="I338" i="41"/>
  <c r="I339" i="41"/>
  <c r="I340" i="41"/>
  <c r="I341" i="41"/>
  <c r="I342" i="41"/>
  <c r="I343" i="41"/>
  <c r="I344" i="41"/>
  <c r="I345" i="41"/>
  <c r="I346" i="41"/>
  <c r="I347" i="41"/>
  <c r="I348" i="41"/>
  <c r="I349" i="41"/>
  <c r="I350" i="41"/>
  <c r="I351" i="41"/>
  <c r="I352" i="41"/>
  <c r="H353" i="41"/>
  <c r="I357" i="41"/>
  <c r="I359" i="41"/>
  <c r="I360" i="41"/>
  <c r="I361" i="41"/>
  <c r="I362" i="41"/>
  <c r="I363" i="41"/>
  <c r="I364" i="41"/>
  <c r="I365" i="41"/>
  <c r="I366" i="41"/>
  <c r="I367" i="41"/>
  <c r="I368" i="41"/>
  <c r="I369" i="41"/>
  <c r="I370" i="41"/>
  <c r="I371" i="41"/>
  <c r="I372" i="41"/>
  <c r="I373" i="41"/>
  <c r="I374" i="41"/>
  <c r="I375" i="41"/>
  <c r="I376" i="41"/>
  <c r="I377" i="41"/>
  <c r="I378" i="41"/>
  <c r="I379" i="41"/>
  <c r="I380" i="41"/>
  <c r="I381" i="41"/>
  <c r="I382" i="41"/>
  <c r="I383" i="41"/>
  <c r="I388" i="41"/>
  <c r="I390" i="41"/>
  <c r="I391" i="41"/>
  <c r="I392" i="41"/>
  <c r="I393" i="41"/>
  <c r="I394" i="41"/>
  <c r="I395" i="41"/>
  <c r="I396" i="41"/>
  <c r="I397" i="41"/>
  <c r="I398" i="41"/>
  <c r="I399" i="41"/>
  <c r="I400" i="41"/>
  <c r="I401" i="41"/>
  <c r="I402" i="41"/>
  <c r="I403" i="41"/>
  <c r="I404" i="41"/>
  <c r="I405" i="41"/>
  <c r="I406" i="41"/>
  <c r="I411" i="41"/>
  <c r="I413" i="41"/>
  <c r="I414" i="41"/>
  <c r="I415" i="41"/>
  <c r="I416" i="41"/>
  <c r="I417" i="41"/>
  <c r="I418" i="41"/>
  <c r="I419" i="41"/>
  <c r="I420" i="41"/>
  <c r="I421" i="41"/>
  <c r="I422" i="41"/>
  <c r="I423" i="41"/>
  <c r="I424" i="41"/>
  <c r="I425" i="41"/>
  <c r="I426" i="41"/>
  <c r="I427" i="41"/>
  <c r="I428" i="41"/>
  <c r="I429" i="41"/>
  <c r="D430" i="41"/>
  <c r="E430" i="41"/>
  <c r="F430" i="41"/>
  <c r="H430" i="41"/>
  <c r="I434" i="41"/>
  <c r="I436" i="41"/>
  <c r="I437" i="41"/>
  <c r="I438" i="41"/>
  <c r="I439" i="41"/>
  <c r="I440" i="41"/>
  <c r="I441" i="41"/>
  <c r="I442" i="41"/>
  <c r="I443" i="41"/>
  <c r="I444" i="41"/>
  <c r="I445" i="41"/>
  <c r="I446" i="41"/>
  <c r="I447" i="41"/>
  <c r="I448" i="41"/>
  <c r="I449" i="41"/>
  <c r="I450" i="41"/>
  <c r="I451" i="41"/>
  <c r="I452" i="41"/>
  <c r="I453" i="41"/>
  <c r="I454" i="41"/>
  <c r="I455" i="41"/>
  <c r="I456" i="41"/>
  <c r="I457" i="41"/>
  <c r="I458" i="41"/>
  <c r="I459" i="41"/>
  <c r="I460" i="41"/>
  <c r="I465" i="41"/>
  <c r="I467" i="41"/>
  <c r="I468" i="41"/>
  <c r="I469" i="41"/>
  <c r="I470" i="41"/>
  <c r="I471" i="41"/>
  <c r="I472" i="41"/>
  <c r="I473" i="41"/>
  <c r="I474" i="41"/>
  <c r="I475" i="41"/>
  <c r="I476" i="41"/>
  <c r="I477" i="41"/>
  <c r="I478" i="41"/>
  <c r="I479" i="41"/>
  <c r="I480" i="41"/>
  <c r="F151" i="40" s="1"/>
  <c r="I481" i="41"/>
  <c r="I482" i="41"/>
  <c r="I483" i="41"/>
  <c r="I484" i="41"/>
  <c r="I485" i="41"/>
  <c r="I486" i="41"/>
  <c r="I487" i="41"/>
  <c r="I488" i="41"/>
  <c r="I489" i="41"/>
  <c r="I490" i="41"/>
  <c r="I491" i="41"/>
  <c r="D492" i="41"/>
  <c r="E492" i="41"/>
  <c r="F492" i="41"/>
  <c r="H492" i="41"/>
  <c r="I496" i="41"/>
  <c r="I498" i="41"/>
  <c r="I499" i="41"/>
  <c r="I500" i="41"/>
  <c r="I501" i="41"/>
  <c r="I502" i="41"/>
  <c r="I503" i="41"/>
  <c r="I504" i="41"/>
  <c r="I505" i="41"/>
  <c r="I506" i="41"/>
  <c r="I507" i="41"/>
  <c r="I508" i="41"/>
  <c r="I509" i="41"/>
  <c r="F162" i="40" s="1"/>
  <c r="I510" i="41"/>
  <c r="I511" i="41"/>
  <c r="I512" i="41"/>
  <c r="I513" i="41"/>
  <c r="I514" i="41"/>
  <c r="I515" i="41"/>
  <c r="I516" i="41"/>
  <c r="I517" i="41"/>
  <c r="I518" i="41"/>
  <c r="I519" i="41"/>
  <c r="I520" i="41"/>
  <c r="I521" i="41"/>
  <c r="I522" i="41"/>
  <c r="I523" i="41"/>
  <c r="I524" i="41"/>
  <c r="D525" i="41"/>
  <c r="E525" i="41"/>
  <c r="F525" i="41"/>
  <c r="H525" i="41"/>
  <c r="I532" i="41"/>
  <c r="I534" i="41"/>
  <c r="I535" i="41"/>
  <c r="D537" i="41"/>
  <c r="D538" i="41" s="1"/>
  <c r="E537" i="41"/>
  <c r="F537" i="41"/>
  <c r="G537" i="41"/>
  <c r="G538" i="41" s="1"/>
  <c r="H537" i="41"/>
  <c r="E538" i="41"/>
  <c r="F538" i="41"/>
  <c r="H538" i="41"/>
  <c r="I543" i="41"/>
  <c r="F181" i="40" s="1"/>
  <c r="I544" i="41"/>
  <c r="I545" i="41"/>
  <c r="F185" i="40" s="1"/>
  <c r="I546" i="41"/>
  <c r="F180" i="40" s="1"/>
  <c r="I547" i="41"/>
  <c r="F179" i="40" s="1"/>
  <c r="D548" i="41"/>
  <c r="E548" i="41"/>
  <c r="F548" i="41"/>
  <c r="G548" i="41"/>
  <c r="H548" i="41"/>
  <c r="I554" i="41"/>
  <c r="C1" i="42"/>
  <c r="E1" i="42"/>
  <c r="I12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D44" i="42"/>
  <c r="E44" i="42"/>
  <c r="F44" i="42"/>
  <c r="H44" i="42"/>
  <c r="I48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B1096" i="42" s="1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D80" i="42"/>
  <c r="E80" i="42"/>
  <c r="F80" i="42"/>
  <c r="H80" i="42"/>
  <c r="I84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D116" i="42"/>
  <c r="E116" i="42"/>
  <c r="F116" i="42"/>
  <c r="H116" i="42"/>
  <c r="I120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D152" i="42"/>
  <c r="E152" i="42"/>
  <c r="F152" i="42"/>
  <c r="H152" i="42"/>
  <c r="I156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D188" i="42"/>
  <c r="E188" i="42"/>
  <c r="F188" i="42"/>
  <c r="H188" i="42"/>
  <c r="I192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H223" i="42"/>
  <c r="I223" i="42" s="1"/>
  <c r="I227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D259" i="42"/>
  <c r="E259" i="42"/>
  <c r="F259" i="42"/>
  <c r="H259" i="42"/>
  <c r="I263" i="42"/>
  <c r="I265" i="42"/>
  <c r="I266" i="42"/>
  <c r="I267" i="42"/>
  <c r="I268" i="42"/>
  <c r="I269" i="42"/>
  <c r="I270" i="42"/>
  <c r="I271" i="42"/>
  <c r="I272" i="42"/>
  <c r="I273" i="42"/>
  <c r="I274" i="42"/>
  <c r="I275" i="42"/>
  <c r="I276" i="42"/>
  <c r="I277" i="42"/>
  <c r="I278" i="42"/>
  <c r="I279" i="42"/>
  <c r="I280" i="42"/>
  <c r="I281" i="42"/>
  <c r="I282" i="42"/>
  <c r="I283" i="42"/>
  <c r="I284" i="42"/>
  <c r="I285" i="42"/>
  <c r="I286" i="42"/>
  <c r="I287" i="42"/>
  <c r="I288" i="42"/>
  <c r="I289" i="42"/>
  <c r="I290" i="42"/>
  <c r="I291" i="42"/>
  <c r="I292" i="42"/>
  <c r="I293" i="42"/>
  <c r="I294" i="42"/>
  <c r="I299" i="42"/>
  <c r="I301" i="42"/>
  <c r="I302" i="42"/>
  <c r="I303" i="42"/>
  <c r="I304" i="42"/>
  <c r="I305" i="42"/>
  <c r="I306" i="42"/>
  <c r="I307" i="42"/>
  <c r="I308" i="42"/>
  <c r="I309" i="42"/>
  <c r="I310" i="42"/>
  <c r="I311" i="42"/>
  <c r="I312" i="42"/>
  <c r="I313" i="42"/>
  <c r="I314" i="42"/>
  <c r="I315" i="42"/>
  <c r="I316" i="42"/>
  <c r="I317" i="42"/>
  <c r="I318" i="42"/>
  <c r="I319" i="42"/>
  <c r="I320" i="42"/>
  <c r="I321" i="42"/>
  <c r="I322" i="42"/>
  <c r="I323" i="42"/>
  <c r="I324" i="42"/>
  <c r="I325" i="42"/>
  <c r="I326" i="42"/>
  <c r="I327" i="42"/>
  <c r="I328" i="42"/>
  <c r="I329" i="42"/>
  <c r="I330" i="42"/>
  <c r="I335" i="42"/>
  <c r="I337" i="42"/>
  <c r="I338" i="42"/>
  <c r="I339" i="42"/>
  <c r="I340" i="42"/>
  <c r="I341" i="42"/>
  <c r="I342" i="42"/>
  <c r="I343" i="42"/>
  <c r="I344" i="42"/>
  <c r="I345" i="42"/>
  <c r="I346" i="42"/>
  <c r="I347" i="42"/>
  <c r="I348" i="42"/>
  <c r="I349" i="42"/>
  <c r="I350" i="42"/>
  <c r="I351" i="42"/>
  <c r="I352" i="42"/>
  <c r="I353" i="42"/>
  <c r="I354" i="42"/>
  <c r="I355" i="42"/>
  <c r="I356" i="42"/>
  <c r="I357" i="42"/>
  <c r="I358" i="42"/>
  <c r="I359" i="42"/>
  <c r="I360" i="42"/>
  <c r="I361" i="42"/>
  <c r="I362" i="42"/>
  <c r="I363" i="42"/>
  <c r="I364" i="42"/>
  <c r="I365" i="42"/>
  <c r="I366" i="42"/>
  <c r="D367" i="42"/>
  <c r="E367" i="42"/>
  <c r="F367" i="42"/>
  <c r="H367" i="42"/>
  <c r="I372" i="42"/>
  <c r="I374" i="42"/>
  <c r="I375" i="42"/>
  <c r="I376" i="42"/>
  <c r="I377" i="42"/>
  <c r="I378" i="42"/>
  <c r="I379" i="42"/>
  <c r="I380" i="42"/>
  <c r="I381" i="42"/>
  <c r="I382" i="42"/>
  <c r="I383" i="42"/>
  <c r="I384" i="42"/>
  <c r="I385" i="42"/>
  <c r="I386" i="42"/>
  <c r="I387" i="42"/>
  <c r="I388" i="42"/>
  <c r="I389" i="42"/>
  <c r="I390" i="42"/>
  <c r="I391" i="42"/>
  <c r="I392" i="42"/>
  <c r="I393" i="42"/>
  <c r="I394" i="42"/>
  <c r="I395" i="42"/>
  <c r="I396" i="42"/>
  <c r="I397" i="42"/>
  <c r="I398" i="42"/>
  <c r="I399" i="42"/>
  <c r="I400" i="42"/>
  <c r="I401" i="42"/>
  <c r="I402" i="42"/>
  <c r="I403" i="42"/>
  <c r="I404" i="42"/>
  <c r="D405" i="42"/>
  <c r="F405" i="42"/>
  <c r="H405" i="42"/>
  <c r="I409" i="42"/>
  <c r="I411" i="42"/>
  <c r="I412" i="42"/>
  <c r="I413" i="42"/>
  <c r="I414" i="42"/>
  <c r="I415" i="42"/>
  <c r="I416" i="42"/>
  <c r="I417" i="42"/>
  <c r="I418" i="42"/>
  <c r="I419" i="42"/>
  <c r="I420" i="42"/>
  <c r="I421" i="42"/>
  <c r="I422" i="42"/>
  <c r="I423" i="42"/>
  <c r="I424" i="42"/>
  <c r="I425" i="42"/>
  <c r="I426" i="42"/>
  <c r="I427" i="42"/>
  <c r="I428" i="42"/>
  <c r="I429" i="42"/>
  <c r="I430" i="42"/>
  <c r="I431" i="42"/>
  <c r="I432" i="42"/>
  <c r="I433" i="42"/>
  <c r="I434" i="42"/>
  <c r="I435" i="42"/>
  <c r="I436" i="42"/>
  <c r="I437" i="42"/>
  <c r="I438" i="42"/>
  <c r="I439" i="42"/>
  <c r="I440" i="42"/>
  <c r="I441" i="42"/>
  <c r="D442" i="42"/>
  <c r="E442" i="42"/>
  <c r="F442" i="42"/>
  <c r="H442" i="42"/>
  <c r="I446" i="42"/>
  <c r="I448" i="42"/>
  <c r="I449" i="42"/>
  <c r="I450" i="42"/>
  <c r="I451" i="42"/>
  <c r="I452" i="42"/>
  <c r="I453" i="42"/>
  <c r="I454" i="42"/>
  <c r="I455" i="42"/>
  <c r="I456" i="42"/>
  <c r="I457" i="42"/>
  <c r="I458" i="42"/>
  <c r="I459" i="42"/>
  <c r="I460" i="42"/>
  <c r="I461" i="42"/>
  <c r="I462" i="42"/>
  <c r="I463" i="42"/>
  <c r="I464" i="42"/>
  <c r="I465" i="42"/>
  <c r="I466" i="42"/>
  <c r="I467" i="42"/>
  <c r="I468" i="42"/>
  <c r="I469" i="42"/>
  <c r="I470" i="42"/>
  <c r="I471" i="42"/>
  <c r="I472" i="42"/>
  <c r="I473" i="42"/>
  <c r="I474" i="42"/>
  <c r="I475" i="42"/>
  <c r="I476" i="42"/>
  <c r="I477" i="42"/>
  <c r="I478" i="42"/>
  <c r="E479" i="42"/>
  <c r="F479" i="42"/>
  <c r="H479" i="42"/>
  <c r="I483" i="42"/>
  <c r="I485" i="42"/>
  <c r="I486" i="42"/>
  <c r="I487" i="42"/>
  <c r="I488" i="42"/>
  <c r="I489" i="42"/>
  <c r="I490" i="42"/>
  <c r="I491" i="42"/>
  <c r="I492" i="42"/>
  <c r="I493" i="42"/>
  <c r="I494" i="42"/>
  <c r="I495" i="42"/>
  <c r="I496" i="42"/>
  <c r="I497" i="42"/>
  <c r="I498" i="42"/>
  <c r="I499" i="42"/>
  <c r="I500" i="42"/>
  <c r="I501" i="42"/>
  <c r="I502" i="42"/>
  <c r="I503" i="42"/>
  <c r="I504" i="42"/>
  <c r="I505" i="42"/>
  <c r="I506" i="42"/>
  <c r="I507" i="42"/>
  <c r="I508" i="42"/>
  <c r="I509" i="42"/>
  <c r="I510" i="42"/>
  <c r="I511" i="42"/>
  <c r="I512" i="42"/>
  <c r="I513" i="42"/>
  <c r="I514" i="42"/>
  <c r="I515" i="42"/>
  <c r="E516" i="42"/>
  <c r="F516" i="42"/>
  <c r="H516" i="42"/>
  <c r="I520" i="42"/>
  <c r="I522" i="42"/>
  <c r="I523" i="42"/>
  <c r="I524" i="42"/>
  <c r="I525" i="42"/>
  <c r="I526" i="42"/>
  <c r="I527" i="42"/>
  <c r="I528" i="42"/>
  <c r="I529" i="42"/>
  <c r="I530" i="42"/>
  <c r="I531" i="42"/>
  <c r="I532" i="42"/>
  <c r="I533" i="42"/>
  <c r="I534" i="42"/>
  <c r="I535" i="42"/>
  <c r="I536" i="42"/>
  <c r="I537" i="42"/>
  <c r="I538" i="42"/>
  <c r="I539" i="42"/>
  <c r="I540" i="42"/>
  <c r="I541" i="42"/>
  <c r="I542" i="42"/>
  <c r="I543" i="42"/>
  <c r="I544" i="42"/>
  <c r="I545" i="42"/>
  <c r="I546" i="42"/>
  <c r="I547" i="42"/>
  <c r="I548" i="42"/>
  <c r="I549" i="42"/>
  <c r="I550" i="42"/>
  <c r="I551" i="42"/>
  <c r="I552" i="42"/>
  <c r="D553" i="42"/>
  <c r="F553" i="42"/>
  <c r="H553" i="42"/>
  <c r="I557" i="42"/>
  <c r="I559" i="42"/>
  <c r="I560" i="42"/>
  <c r="I561" i="42"/>
  <c r="I562" i="42"/>
  <c r="I563" i="42"/>
  <c r="I564" i="42"/>
  <c r="I565" i="42"/>
  <c r="I566" i="42"/>
  <c r="I567" i="42"/>
  <c r="I568" i="42"/>
  <c r="I569" i="42"/>
  <c r="I570" i="42"/>
  <c r="I571" i="42"/>
  <c r="I572" i="42"/>
  <c r="I573" i="42"/>
  <c r="I574" i="42"/>
  <c r="I575" i="42"/>
  <c r="I576" i="42"/>
  <c r="I577" i="42"/>
  <c r="I578" i="42"/>
  <c r="I579" i="42"/>
  <c r="I580" i="42"/>
  <c r="I581" i="42"/>
  <c r="I582" i="42"/>
  <c r="I583" i="42"/>
  <c r="I584" i="42"/>
  <c r="I585" i="42"/>
  <c r="I586" i="42"/>
  <c r="I587" i="42"/>
  <c r="I588" i="42"/>
  <c r="I589" i="42"/>
  <c r="I594" i="42"/>
  <c r="I596" i="42"/>
  <c r="I597" i="42"/>
  <c r="I598" i="42"/>
  <c r="I599" i="42"/>
  <c r="I600" i="42"/>
  <c r="I601" i="42"/>
  <c r="I602" i="42"/>
  <c r="I603" i="42"/>
  <c r="I604" i="42"/>
  <c r="I605" i="42"/>
  <c r="I606" i="42"/>
  <c r="I607" i="42"/>
  <c r="I608" i="42"/>
  <c r="I609" i="42"/>
  <c r="I610" i="42"/>
  <c r="I611" i="42"/>
  <c r="I612" i="42"/>
  <c r="I613" i="42"/>
  <c r="I614" i="42"/>
  <c r="I615" i="42"/>
  <c r="I616" i="42"/>
  <c r="I617" i="42"/>
  <c r="I618" i="42"/>
  <c r="I619" i="42"/>
  <c r="I620" i="42"/>
  <c r="I621" i="42"/>
  <c r="I622" i="42"/>
  <c r="I623" i="42"/>
  <c r="I624" i="42"/>
  <c r="I625" i="42"/>
  <c r="I626" i="42"/>
  <c r="I631" i="42"/>
  <c r="I633" i="42"/>
  <c r="I634" i="42"/>
  <c r="I635" i="42"/>
  <c r="I636" i="42"/>
  <c r="I637" i="42"/>
  <c r="I638" i="42"/>
  <c r="I639" i="42"/>
  <c r="I640" i="42"/>
  <c r="I641" i="42"/>
  <c r="I642" i="42"/>
  <c r="I643" i="42"/>
  <c r="I644" i="42"/>
  <c r="I645" i="42"/>
  <c r="I646" i="42"/>
  <c r="I647" i="42"/>
  <c r="I648" i="42"/>
  <c r="I649" i="42"/>
  <c r="I650" i="42"/>
  <c r="I651" i="42"/>
  <c r="I652" i="42"/>
  <c r="I653" i="42"/>
  <c r="I654" i="42"/>
  <c r="I655" i="42"/>
  <c r="I656" i="42"/>
  <c r="I657" i="42"/>
  <c r="I658" i="42"/>
  <c r="I659" i="42"/>
  <c r="I660" i="42"/>
  <c r="I661" i="42"/>
  <c r="I662" i="42"/>
  <c r="I663" i="42"/>
  <c r="I664" i="42"/>
  <c r="H665" i="42"/>
  <c r="I669" i="42"/>
  <c r="I671" i="42"/>
  <c r="I672" i="42"/>
  <c r="I673" i="42"/>
  <c r="I674" i="42"/>
  <c r="I675" i="42"/>
  <c r="I676" i="42"/>
  <c r="I677" i="42"/>
  <c r="I678" i="42"/>
  <c r="I679" i="42"/>
  <c r="I680" i="42"/>
  <c r="I681" i="42"/>
  <c r="I682" i="42"/>
  <c r="I683" i="42"/>
  <c r="I684" i="42"/>
  <c r="I685" i="42"/>
  <c r="I686" i="42"/>
  <c r="I687" i="42"/>
  <c r="I688" i="42"/>
  <c r="I689" i="42"/>
  <c r="I690" i="42"/>
  <c r="I691" i="42"/>
  <c r="I692" i="42"/>
  <c r="I693" i="42"/>
  <c r="I694" i="42"/>
  <c r="I695" i="42"/>
  <c r="I696" i="42"/>
  <c r="I697" i="42"/>
  <c r="I698" i="42"/>
  <c r="I699" i="42"/>
  <c r="I700" i="42"/>
  <c r="I701" i="42"/>
  <c r="D702" i="42"/>
  <c r="F702" i="42"/>
  <c r="H702" i="42"/>
  <c r="I706" i="42"/>
  <c r="I708" i="42"/>
  <c r="I709" i="42"/>
  <c r="I710" i="42"/>
  <c r="I711" i="42"/>
  <c r="I712" i="42"/>
  <c r="I713" i="42"/>
  <c r="I714" i="42"/>
  <c r="I715" i="42"/>
  <c r="I716" i="42"/>
  <c r="I717" i="42"/>
  <c r="I718" i="42"/>
  <c r="I719" i="42"/>
  <c r="I720" i="42"/>
  <c r="I721" i="42"/>
  <c r="I722" i="42"/>
  <c r="I723" i="42"/>
  <c r="I724" i="42"/>
  <c r="I725" i="42"/>
  <c r="I726" i="42"/>
  <c r="I727" i="42"/>
  <c r="I728" i="42"/>
  <c r="I729" i="42"/>
  <c r="I730" i="42"/>
  <c r="I731" i="42"/>
  <c r="I732" i="42"/>
  <c r="I733" i="42"/>
  <c r="I734" i="42"/>
  <c r="I735" i="42"/>
  <c r="I736" i="42"/>
  <c r="I737" i="42"/>
  <c r="I738" i="42"/>
  <c r="I743" i="42"/>
  <c r="I745" i="42"/>
  <c r="I746" i="42"/>
  <c r="I747" i="42"/>
  <c r="I748" i="42"/>
  <c r="I749" i="42"/>
  <c r="I750" i="42"/>
  <c r="I751" i="42"/>
  <c r="I752" i="42"/>
  <c r="I753" i="42"/>
  <c r="I754" i="42"/>
  <c r="I755" i="42"/>
  <c r="I756" i="42"/>
  <c r="I757" i="42"/>
  <c r="I758" i="42"/>
  <c r="I759" i="42"/>
  <c r="I760" i="42"/>
  <c r="I761" i="42"/>
  <c r="I762" i="42"/>
  <c r="I763" i="42"/>
  <c r="I764" i="42"/>
  <c r="I765" i="42"/>
  <c r="I766" i="42"/>
  <c r="I767" i="42"/>
  <c r="I768" i="42"/>
  <c r="I769" i="42"/>
  <c r="I770" i="42"/>
  <c r="I771" i="42"/>
  <c r="I772" i="42"/>
  <c r="I773" i="42"/>
  <c r="I774" i="42"/>
  <c r="I775" i="42"/>
  <c r="I780" i="42"/>
  <c r="I782" i="42"/>
  <c r="I783" i="42"/>
  <c r="I784" i="42"/>
  <c r="I785" i="42"/>
  <c r="I786" i="42"/>
  <c r="I787" i="42"/>
  <c r="I788" i="42"/>
  <c r="I789" i="42"/>
  <c r="I790" i="42"/>
  <c r="I791" i="42"/>
  <c r="I792" i="42"/>
  <c r="I793" i="42"/>
  <c r="I794" i="42"/>
  <c r="I795" i="42"/>
  <c r="I796" i="42"/>
  <c r="I797" i="42"/>
  <c r="I798" i="42"/>
  <c r="I799" i="42"/>
  <c r="I800" i="42"/>
  <c r="I801" i="42"/>
  <c r="I802" i="42"/>
  <c r="I803" i="42"/>
  <c r="I804" i="42"/>
  <c r="I805" i="42"/>
  <c r="I806" i="42"/>
  <c r="I807" i="42"/>
  <c r="I808" i="42"/>
  <c r="I809" i="42"/>
  <c r="I810" i="42"/>
  <c r="I811" i="42"/>
  <c r="I812" i="42"/>
  <c r="F813" i="42"/>
  <c r="H813" i="42"/>
  <c r="I817" i="42"/>
  <c r="I819" i="42"/>
  <c r="I820" i="42"/>
  <c r="I821" i="42"/>
  <c r="I822" i="42"/>
  <c r="I823" i="42"/>
  <c r="I824" i="42"/>
  <c r="I825" i="42"/>
  <c r="I826" i="42"/>
  <c r="I827" i="42"/>
  <c r="I828" i="42"/>
  <c r="I829" i="42"/>
  <c r="I830" i="42"/>
  <c r="I831" i="42"/>
  <c r="I832" i="42"/>
  <c r="I833" i="42"/>
  <c r="I834" i="42"/>
  <c r="I835" i="42"/>
  <c r="I836" i="42"/>
  <c r="I837" i="42"/>
  <c r="I838" i="42"/>
  <c r="I839" i="42"/>
  <c r="I840" i="42"/>
  <c r="I841" i="42"/>
  <c r="I842" i="42"/>
  <c r="I843" i="42"/>
  <c r="I844" i="42"/>
  <c r="I845" i="42"/>
  <c r="I846" i="42"/>
  <c r="I847" i="42"/>
  <c r="I848" i="42"/>
  <c r="I849" i="42"/>
  <c r="D850" i="42"/>
  <c r="E850" i="42"/>
  <c r="F850" i="42"/>
  <c r="H850" i="42"/>
  <c r="I854" i="42"/>
  <c r="I856" i="42"/>
  <c r="I857" i="42"/>
  <c r="I858" i="42"/>
  <c r="I859" i="42"/>
  <c r="I860" i="42"/>
  <c r="I861" i="42"/>
  <c r="I862" i="42"/>
  <c r="I863" i="42"/>
  <c r="I864" i="42"/>
  <c r="I865" i="42"/>
  <c r="I866" i="42"/>
  <c r="I867" i="42"/>
  <c r="I868" i="42"/>
  <c r="I869" i="42"/>
  <c r="I870" i="42"/>
  <c r="I871" i="42"/>
  <c r="I872" i="42"/>
  <c r="I873" i="42"/>
  <c r="I874" i="42"/>
  <c r="I875" i="42"/>
  <c r="I876" i="42"/>
  <c r="I877" i="42"/>
  <c r="I878" i="42"/>
  <c r="I879" i="42"/>
  <c r="I880" i="42"/>
  <c r="I881" i="42"/>
  <c r="I882" i="42"/>
  <c r="I883" i="42"/>
  <c r="I884" i="42"/>
  <c r="I885" i="42"/>
  <c r="I886" i="42"/>
  <c r="D887" i="42"/>
  <c r="E887" i="42"/>
  <c r="F887" i="42"/>
  <c r="H887" i="42"/>
  <c r="I891" i="42"/>
  <c r="I893" i="42"/>
  <c r="I894" i="42"/>
  <c r="I895" i="42"/>
  <c r="I896" i="42"/>
  <c r="I897" i="42"/>
  <c r="I898" i="42"/>
  <c r="I899" i="42"/>
  <c r="I900" i="42"/>
  <c r="I901" i="42"/>
  <c r="I902" i="42"/>
  <c r="I903" i="42"/>
  <c r="I904" i="42"/>
  <c r="I905" i="42"/>
  <c r="I906" i="42"/>
  <c r="I907" i="42"/>
  <c r="I908" i="42"/>
  <c r="I909" i="42"/>
  <c r="I910" i="42"/>
  <c r="I911" i="42"/>
  <c r="I912" i="42"/>
  <c r="I913" i="42"/>
  <c r="I914" i="42"/>
  <c r="I915" i="42"/>
  <c r="I916" i="42"/>
  <c r="I917" i="42"/>
  <c r="I918" i="42"/>
  <c r="I919" i="42"/>
  <c r="I920" i="42"/>
  <c r="I921" i="42"/>
  <c r="I922" i="42"/>
  <c r="I923" i="42"/>
  <c r="H924" i="42"/>
  <c r="I928" i="42"/>
  <c r="I930" i="42"/>
  <c r="I931" i="42"/>
  <c r="I932" i="42"/>
  <c r="I933" i="42"/>
  <c r="I934" i="42"/>
  <c r="I935" i="42"/>
  <c r="I936" i="42"/>
  <c r="I937" i="42"/>
  <c r="I938" i="42"/>
  <c r="I939" i="42"/>
  <c r="I940" i="42"/>
  <c r="I941" i="42"/>
  <c r="I942" i="42"/>
  <c r="I943" i="42"/>
  <c r="I944" i="42"/>
  <c r="I945" i="42"/>
  <c r="I946" i="42"/>
  <c r="I947" i="42"/>
  <c r="I948" i="42"/>
  <c r="I949" i="42"/>
  <c r="I950" i="42"/>
  <c r="I951" i="42"/>
  <c r="I952" i="42"/>
  <c r="I953" i="42"/>
  <c r="I954" i="42"/>
  <c r="I955" i="42"/>
  <c r="I956" i="42"/>
  <c r="I957" i="42"/>
  <c r="I958" i="42"/>
  <c r="I959" i="42"/>
  <c r="I960" i="42"/>
  <c r="I965" i="42"/>
  <c r="I967" i="42"/>
  <c r="I968" i="42"/>
  <c r="I969" i="42"/>
  <c r="I970" i="42"/>
  <c r="I971" i="42"/>
  <c r="I972" i="42"/>
  <c r="I973" i="42"/>
  <c r="I974" i="42"/>
  <c r="I975" i="42"/>
  <c r="I976" i="42"/>
  <c r="I977" i="42"/>
  <c r="I978" i="42"/>
  <c r="I979" i="42"/>
  <c r="I980" i="42"/>
  <c r="I981" i="42"/>
  <c r="I982" i="42"/>
  <c r="I983" i="42"/>
  <c r="I984" i="42"/>
  <c r="I985" i="42"/>
  <c r="I986" i="42"/>
  <c r="I987" i="42"/>
  <c r="I988" i="42"/>
  <c r="I989" i="42"/>
  <c r="I990" i="42"/>
  <c r="I991" i="42"/>
  <c r="I992" i="42"/>
  <c r="I993" i="42"/>
  <c r="I994" i="42"/>
  <c r="I995" i="42"/>
  <c r="I996" i="42"/>
  <c r="I997" i="42"/>
  <c r="E998" i="42"/>
  <c r="F998" i="42"/>
  <c r="H998" i="42"/>
  <c r="I1002" i="42"/>
  <c r="I1004" i="42"/>
  <c r="I1005" i="42"/>
  <c r="I1006" i="42"/>
  <c r="I1007" i="42"/>
  <c r="I1008" i="42"/>
  <c r="I1009" i="42"/>
  <c r="I1010" i="42"/>
  <c r="I1011" i="42"/>
  <c r="I1012" i="42"/>
  <c r="I1013" i="42"/>
  <c r="I1014" i="42"/>
  <c r="I1015" i="42"/>
  <c r="I1016" i="42"/>
  <c r="I1017" i="42"/>
  <c r="I1018" i="42"/>
  <c r="I1019" i="42"/>
  <c r="I1020" i="42"/>
  <c r="I1021" i="42"/>
  <c r="I1022" i="42"/>
  <c r="I1023" i="42"/>
  <c r="I1024" i="42"/>
  <c r="I1025" i="42"/>
  <c r="I1026" i="42"/>
  <c r="I1027" i="42"/>
  <c r="I1028" i="42"/>
  <c r="I1029" i="42"/>
  <c r="I1030" i="42"/>
  <c r="I1031" i="42"/>
  <c r="I1032" i="42"/>
  <c r="I1033" i="42"/>
  <c r="I1034" i="42"/>
  <c r="D1035" i="42"/>
  <c r="E1035" i="42"/>
  <c r="F1035" i="42"/>
  <c r="H1035" i="42"/>
  <c r="I1039" i="42"/>
  <c r="I1041" i="42"/>
  <c r="I1042" i="42"/>
  <c r="I1043" i="42"/>
  <c r="I1044" i="42"/>
  <c r="I1045" i="42"/>
  <c r="I1046" i="42"/>
  <c r="I1047" i="42"/>
  <c r="I1048" i="42"/>
  <c r="I1049" i="42"/>
  <c r="I1050" i="42"/>
  <c r="I1051" i="42"/>
  <c r="I1052" i="42"/>
  <c r="I1053" i="42"/>
  <c r="I1054" i="42"/>
  <c r="I1055" i="42"/>
  <c r="I1056" i="42"/>
  <c r="I1057" i="42"/>
  <c r="I1058" i="42"/>
  <c r="I1059" i="42"/>
  <c r="I1060" i="42"/>
  <c r="I1061" i="42"/>
  <c r="I1062" i="42"/>
  <c r="I1063" i="42"/>
  <c r="I1064" i="42"/>
  <c r="I1065" i="42"/>
  <c r="I1066" i="42"/>
  <c r="I1067" i="42"/>
  <c r="I1068" i="42"/>
  <c r="I1069" i="42"/>
  <c r="I1070" i="42"/>
  <c r="I1071" i="42"/>
  <c r="D1072" i="42"/>
  <c r="E1072" i="42"/>
  <c r="F1072" i="42"/>
  <c r="H1072" i="42"/>
  <c r="B1104" i="42"/>
  <c r="B1105" i="42"/>
  <c r="C1" i="43"/>
  <c r="E1" i="43"/>
  <c r="I5" i="43"/>
  <c r="I7" i="43"/>
  <c r="C10" i="29" s="1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D45" i="43"/>
  <c r="E45" i="43"/>
  <c r="F45" i="43"/>
  <c r="G45" i="43"/>
  <c r="H45" i="43"/>
  <c r="I48" i="43"/>
  <c r="I51" i="43"/>
  <c r="C11" i="29" s="1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E74" i="43"/>
  <c r="F74" i="43"/>
  <c r="G74" i="43"/>
  <c r="H74" i="43"/>
  <c r="I77" i="43"/>
  <c r="I78" i="43"/>
  <c r="I79" i="43"/>
  <c r="I89" i="43" s="1"/>
  <c r="I80" i="43"/>
  <c r="I81" i="43"/>
  <c r="I82" i="43"/>
  <c r="I83" i="43"/>
  <c r="I84" i="43"/>
  <c r="I85" i="43"/>
  <c r="I86" i="43"/>
  <c r="I87" i="43"/>
  <c r="D89" i="43"/>
  <c r="E89" i="43"/>
  <c r="F89" i="43"/>
  <c r="G89" i="43"/>
  <c r="H89" i="43"/>
  <c r="I92" i="43"/>
  <c r="I93" i="43"/>
  <c r="I94" i="43"/>
  <c r="I95" i="43"/>
  <c r="D96" i="43"/>
  <c r="E96" i="43"/>
  <c r="F96" i="43"/>
  <c r="G96" i="43"/>
  <c r="G98" i="43" s="1"/>
  <c r="G100" i="43" s="1"/>
  <c r="G108" i="43" s="1"/>
  <c r="G558" i="41" s="1"/>
  <c r="H96" i="43"/>
  <c r="D98" i="43"/>
  <c r="D100" i="43" s="1"/>
  <c r="D108" i="43" s="1"/>
  <c r="D558" i="41" s="1"/>
  <c r="I102" i="43"/>
  <c r="I103" i="43"/>
  <c r="I104" i="43"/>
  <c r="I106" i="43" s="1"/>
  <c r="D106" i="43"/>
  <c r="E106" i="43"/>
  <c r="F106" i="43"/>
  <c r="G106" i="43"/>
  <c r="H106" i="43"/>
  <c r="I111" i="43"/>
  <c r="I115" i="43"/>
  <c r="I116" i="43"/>
  <c r="I117" i="43"/>
  <c r="C1" i="5"/>
  <c r="E1" i="5"/>
  <c r="I1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D45" i="40" s="1"/>
  <c r="I33" i="5"/>
  <c r="I34" i="5"/>
  <c r="I35" i="5"/>
  <c r="I36" i="5"/>
  <c r="I37" i="5"/>
  <c r="I38" i="5"/>
  <c r="I39" i="5"/>
  <c r="I40" i="5"/>
  <c r="I41" i="5"/>
  <c r="I42" i="5"/>
  <c r="I43" i="5"/>
  <c r="E44" i="5"/>
  <c r="F44" i="5"/>
  <c r="H44" i="5"/>
  <c r="I48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D81" i="5"/>
  <c r="E81" i="5"/>
  <c r="F81" i="5"/>
  <c r="F527" i="5" s="1"/>
  <c r="H81" i="5"/>
  <c r="I85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F118" i="5"/>
  <c r="H118" i="5"/>
  <c r="I122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E149" i="5"/>
  <c r="F149" i="5"/>
  <c r="H149" i="5"/>
  <c r="I153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91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D218" i="5"/>
  <c r="E218" i="5"/>
  <c r="F218" i="5"/>
  <c r="H218" i="5"/>
  <c r="I222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D89" i="40" s="1"/>
  <c r="I239" i="5"/>
  <c r="I240" i="5"/>
  <c r="I241" i="5"/>
  <c r="I242" i="5"/>
  <c r="I243" i="5"/>
  <c r="I244" i="5"/>
  <c r="I245" i="5"/>
  <c r="I246" i="5"/>
  <c r="I247" i="5"/>
  <c r="I248" i="5"/>
  <c r="I249" i="5"/>
  <c r="I250" i="5"/>
  <c r="E251" i="5"/>
  <c r="F251" i="5"/>
  <c r="H251" i="5"/>
  <c r="I255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D98" i="40" s="1"/>
  <c r="I279" i="5"/>
  <c r="I280" i="5"/>
  <c r="I281" i="5"/>
  <c r="I282" i="5"/>
  <c r="I283" i="5"/>
  <c r="I284" i="5"/>
  <c r="I285" i="5"/>
  <c r="I286" i="5"/>
  <c r="I287" i="5"/>
  <c r="I288" i="5"/>
  <c r="I289" i="5"/>
  <c r="I290" i="5"/>
  <c r="I295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E323" i="5"/>
  <c r="F323" i="5"/>
  <c r="H323" i="5"/>
  <c r="I327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D116" i="40" s="1"/>
  <c r="I342" i="5"/>
  <c r="I343" i="5"/>
  <c r="I344" i="5"/>
  <c r="I345" i="5"/>
  <c r="I346" i="5"/>
  <c r="I347" i="5"/>
  <c r="I348" i="5"/>
  <c r="I349" i="5"/>
  <c r="I350" i="5"/>
  <c r="I351" i="5"/>
  <c r="I352" i="5"/>
  <c r="D353" i="5"/>
  <c r="E353" i="5"/>
  <c r="F353" i="5"/>
  <c r="H353" i="5"/>
  <c r="I357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8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11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H430" i="5"/>
  <c r="I434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E461" i="5"/>
  <c r="F461" i="5"/>
  <c r="H461" i="5"/>
  <c r="I465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D151" i="40" s="1"/>
  <c r="BI151" i="40" s="1"/>
  <c r="I481" i="5"/>
  <c r="I482" i="5"/>
  <c r="I483" i="5"/>
  <c r="I484" i="5"/>
  <c r="I485" i="5"/>
  <c r="I486" i="5"/>
  <c r="I487" i="5"/>
  <c r="I488" i="5"/>
  <c r="I489" i="5"/>
  <c r="I490" i="5"/>
  <c r="I491" i="5"/>
  <c r="F492" i="5"/>
  <c r="H492" i="5"/>
  <c r="I496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32" i="5"/>
  <c r="I534" i="5"/>
  <c r="B20" i="30" s="1"/>
  <c r="I535" i="5"/>
  <c r="D537" i="5"/>
  <c r="D538" i="5" s="1"/>
  <c r="E537" i="5"/>
  <c r="E538" i="5" s="1"/>
  <c r="F537" i="5"/>
  <c r="F538" i="5" s="1"/>
  <c r="G537" i="5"/>
  <c r="H537" i="5"/>
  <c r="H538" i="5" s="1"/>
  <c r="G538" i="5"/>
  <c r="I543" i="5"/>
  <c r="D181" i="40" s="1"/>
  <c r="I544" i="5"/>
  <c r="I545" i="5"/>
  <c r="D182" i="40" s="1"/>
  <c r="BI182" i="40" s="1"/>
  <c r="I546" i="5"/>
  <c r="D185" i="40" s="1"/>
  <c r="I547" i="5"/>
  <c r="D183" i="40" s="1"/>
  <c r="BI183" i="40" s="1"/>
  <c r="I548" i="5"/>
  <c r="D180" i="40" s="1"/>
  <c r="I549" i="5"/>
  <c r="D179" i="40"/>
  <c r="D550" i="5"/>
  <c r="E550" i="5"/>
  <c r="F550" i="5"/>
  <c r="G550" i="5"/>
  <c r="I550" i="5" s="1"/>
  <c r="B26" i="30" s="1"/>
  <c r="H550" i="5"/>
  <c r="I556" i="5"/>
  <c r="C1" i="4"/>
  <c r="E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D44" i="4"/>
  <c r="E44" i="4"/>
  <c r="F44" i="4"/>
  <c r="F1074" i="4" s="1"/>
  <c r="F529" i="5" s="1"/>
  <c r="H44" i="4"/>
  <c r="I48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D80" i="4"/>
  <c r="E80" i="4"/>
  <c r="F80" i="4"/>
  <c r="H80" i="4"/>
  <c r="I84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D116" i="4"/>
  <c r="F116" i="4"/>
  <c r="H116" i="4"/>
  <c r="I120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E152" i="4"/>
  <c r="F152" i="4"/>
  <c r="H152" i="4"/>
  <c r="I156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D188" i="4"/>
  <c r="F188" i="4"/>
  <c r="H188" i="4"/>
  <c r="I192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D223" i="4"/>
  <c r="E223" i="4"/>
  <c r="F223" i="4"/>
  <c r="H223" i="4"/>
  <c r="I227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E259" i="4"/>
  <c r="F259" i="4"/>
  <c r="H259" i="4"/>
  <c r="I263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D295" i="4"/>
  <c r="E295" i="4"/>
  <c r="F295" i="4"/>
  <c r="H295" i="4"/>
  <c r="I299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D331" i="4"/>
  <c r="E331" i="4"/>
  <c r="F331" i="4"/>
  <c r="H331" i="4"/>
  <c r="I335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D367" i="4"/>
  <c r="E367" i="4"/>
  <c r="F367" i="4"/>
  <c r="H367" i="4"/>
  <c r="I372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E405" i="4"/>
  <c r="E1074" i="4" s="1"/>
  <c r="F405" i="4"/>
  <c r="H405" i="4"/>
  <c r="I409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B1092" i="4" s="1"/>
  <c r="I424" i="4"/>
  <c r="I425" i="4"/>
  <c r="I426" i="4"/>
  <c r="I427" i="4"/>
  <c r="I428" i="4"/>
  <c r="I429" i="4"/>
  <c r="I430" i="4"/>
  <c r="I431" i="4"/>
  <c r="B1100" i="4" s="1"/>
  <c r="I432" i="4"/>
  <c r="I433" i="4"/>
  <c r="I434" i="4"/>
  <c r="I435" i="4"/>
  <c r="I436" i="4"/>
  <c r="I437" i="4"/>
  <c r="I438" i="4"/>
  <c r="I439" i="4"/>
  <c r="I440" i="4"/>
  <c r="I441" i="4"/>
  <c r="F442" i="4"/>
  <c r="H442" i="4"/>
  <c r="I446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D479" i="4"/>
  <c r="E479" i="4"/>
  <c r="F479" i="4"/>
  <c r="H479" i="4"/>
  <c r="I483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E516" i="4"/>
  <c r="F516" i="4"/>
  <c r="H516" i="4"/>
  <c r="I520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F553" i="4"/>
  <c r="H553" i="4"/>
  <c r="I557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D590" i="4"/>
  <c r="E590" i="4"/>
  <c r="F590" i="4"/>
  <c r="H590" i="4"/>
  <c r="I594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F627" i="4"/>
  <c r="H627" i="4"/>
  <c r="I631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E665" i="4"/>
  <c r="F665" i="4"/>
  <c r="H665" i="4"/>
  <c r="I669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D702" i="4"/>
  <c r="E702" i="4"/>
  <c r="F702" i="4"/>
  <c r="H702" i="4"/>
  <c r="I706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H739" i="4"/>
  <c r="I743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F776" i="4"/>
  <c r="H776" i="4"/>
  <c r="I780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B1101" i="4" s="1"/>
  <c r="I804" i="4"/>
  <c r="I805" i="4"/>
  <c r="I806" i="4"/>
  <c r="I807" i="4"/>
  <c r="I808" i="4"/>
  <c r="I809" i="4"/>
  <c r="I810" i="4"/>
  <c r="I811" i="4"/>
  <c r="I812" i="4"/>
  <c r="F813" i="4"/>
  <c r="H813" i="4"/>
  <c r="I817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E850" i="4"/>
  <c r="F850" i="4"/>
  <c r="H850" i="4"/>
  <c r="I854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F887" i="4"/>
  <c r="H887" i="4"/>
  <c r="I891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B1102" i="4" s="1"/>
  <c r="I916" i="4"/>
  <c r="I917" i="4"/>
  <c r="I918" i="4"/>
  <c r="I919" i="4"/>
  <c r="I920" i="4"/>
  <c r="I921" i="4"/>
  <c r="I922" i="4"/>
  <c r="I923" i="4"/>
  <c r="D924" i="4"/>
  <c r="E924" i="4"/>
  <c r="F924" i="4"/>
  <c r="H924" i="4"/>
  <c r="I928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D961" i="4"/>
  <c r="E961" i="4"/>
  <c r="F961" i="4"/>
  <c r="H961" i="4"/>
  <c r="I965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D998" i="4"/>
  <c r="E998" i="4"/>
  <c r="F998" i="4"/>
  <c r="H998" i="4"/>
  <c r="I1002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E1035" i="4"/>
  <c r="F1035" i="4"/>
  <c r="H1035" i="4"/>
  <c r="I1039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D1072" i="4"/>
  <c r="E1072" i="4"/>
  <c r="F1072" i="4"/>
  <c r="H1072" i="4"/>
  <c r="B1105" i="4"/>
  <c r="C1" i="3"/>
  <c r="E1" i="3"/>
  <c r="I5" i="3"/>
  <c r="I7" i="3"/>
  <c r="B10" i="29" s="1"/>
  <c r="I8" i="3"/>
  <c r="B12" i="29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F45" i="3"/>
  <c r="F100" i="3" s="1"/>
  <c r="F102" i="3" s="1"/>
  <c r="F110" i="3" s="1"/>
  <c r="F560" i="5" s="1"/>
  <c r="G45" i="3"/>
  <c r="H45" i="3"/>
  <c r="I48" i="3"/>
  <c r="I51" i="3"/>
  <c r="B11" i="29" s="1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D75" i="3"/>
  <c r="E75" i="3"/>
  <c r="F75" i="3"/>
  <c r="G75" i="3"/>
  <c r="H75" i="3"/>
  <c r="I78" i="3"/>
  <c r="I91" i="3" s="1"/>
  <c r="I79" i="3"/>
  <c r="I80" i="3"/>
  <c r="I81" i="3"/>
  <c r="I82" i="3"/>
  <c r="I83" i="3"/>
  <c r="I84" i="3"/>
  <c r="I85" i="3"/>
  <c r="I86" i="3"/>
  <c r="I87" i="3"/>
  <c r="I88" i="3"/>
  <c r="I89" i="3"/>
  <c r="D91" i="3"/>
  <c r="E91" i="3"/>
  <c r="F91" i="3"/>
  <c r="G91" i="3"/>
  <c r="H91" i="3"/>
  <c r="H100" i="3" s="1"/>
  <c r="H102" i="3" s="1"/>
  <c r="H110" i="3" s="1"/>
  <c r="H560" i="5" s="1"/>
  <c r="I94" i="3"/>
  <c r="I95" i="3"/>
  <c r="I96" i="3"/>
  <c r="I97" i="3"/>
  <c r="D98" i="3"/>
  <c r="E98" i="3"/>
  <c r="F98" i="3"/>
  <c r="G98" i="3"/>
  <c r="G100" i="3" s="1"/>
  <c r="G102" i="3" s="1"/>
  <c r="G110" i="3" s="1"/>
  <c r="G560" i="5" s="1"/>
  <c r="H98" i="3"/>
  <c r="D100" i="3"/>
  <c r="D102" i="3" s="1"/>
  <c r="I104" i="3"/>
  <c r="I106" i="3"/>
  <c r="C39" i="24" s="1"/>
  <c r="D108" i="3"/>
  <c r="E108" i="3"/>
  <c r="F108" i="3"/>
  <c r="G108" i="3"/>
  <c r="H108" i="3"/>
  <c r="I113" i="3"/>
  <c r="I117" i="3"/>
  <c r="I118" i="3"/>
  <c r="I119" i="3"/>
  <c r="C1" i="48"/>
  <c r="K1" i="48"/>
  <c r="W9" i="48"/>
  <c r="X9" i="48"/>
  <c r="Y9" i="48"/>
  <c r="Z9" i="48"/>
  <c r="V12" i="48"/>
  <c r="V13" i="48"/>
  <c r="V14" i="48"/>
  <c r="V15" i="48"/>
  <c r="V16" i="48"/>
  <c r="V17" i="48"/>
  <c r="V18" i="48"/>
  <c r="V19" i="48"/>
  <c r="V20" i="48"/>
  <c r="V21" i="48"/>
  <c r="V22" i="48"/>
  <c r="V23" i="48"/>
  <c r="V24" i="48"/>
  <c r="V25" i="48"/>
  <c r="V26" i="48"/>
  <c r="V27" i="48"/>
  <c r="V28" i="48"/>
  <c r="V29" i="48"/>
  <c r="V30" i="48"/>
  <c r="V31" i="48"/>
  <c r="N32" i="48"/>
  <c r="R32" i="48" s="1"/>
  <c r="V32" i="48"/>
  <c r="N33" i="48"/>
  <c r="R33" i="48" s="1"/>
  <c r="V33" i="48"/>
  <c r="N34" i="48"/>
  <c r="R34" i="48" s="1"/>
  <c r="V34" i="48"/>
  <c r="N35" i="48"/>
  <c r="R35" i="48" s="1"/>
  <c r="V35" i="48"/>
  <c r="N36" i="48"/>
  <c r="R36" i="48" s="1"/>
  <c r="V36" i="48"/>
  <c r="N37" i="48"/>
  <c r="R37" i="48" s="1"/>
  <c r="V37" i="48"/>
  <c r="N38" i="48"/>
  <c r="R38" i="48" s="1"/>
  <c r="V38" i="48"/>
  <c r="N39" i="48"/>
  <c r="R39" i="48" s="1"/>
  <c r="V39" i="48"/>
  <c r="N40" i="48"/>
  <c r="R40" i="48" s="1"/>
  <c r="V40" i="48"/>
  <c r="N41" i="48"/>
  <c r="R41" i="48" s="1"/>
  <c r="V41" i="48"/>
  <c r="N42" i="48"/>
  <c r="R42" i="48" s="1"/>
  <c r="V42" i="48"/>
  <c r="N43" i="48"/>
  <c r="R43" i="48" s="1"/>
  <c r="V43" i="48"/>
  <c r="N44" i="48"/>
  <c r="R44" i="48" s="1"/>
  <c r="V44" i="48"/>
  <c r="N45" i="48"/>
  <c r="R45" i="48" s="1"/>
  <c r="V45" i="48"/>
  <c r="N46" i="48"/>
  <c r="R46" i="48" s="1"/>
  <c r="V46" i="48"/>
  <c r="N47" i="48"/>
  <c r="R47" i="48" s="1"/>
  <c r="V47" i="48"/>
  <c r="N48" i="48"/>
  <c r="R48" i="48" s="1"/>
  <c r="V48" i="48"/>
  <c r="N49" i="48"/>
  <c r="R49" i="48" s="1"/>
  <c r="V49" i="48"/>
  <c r="N50" i="48"/>
  <c r="R50" i="48" s="1"/>
  <c r="V50" i="48"/>
  <c r="N51" i="48"/>
  <c r="R51" i="48" s="1"/>
  <c r="V51" i="48"/>
  <c r="N52" i="48"/>
  <c r="R52" i="48" s="1"/>
  <c r="V52" i="48"/>
  <c r="N53" i="48"/>
  <c r="R53" i="48" s="1"/>
  <c r="V53" i="48"/>
  <c r="N54" i="48"/>
  <c r="R54" i="48" s="1"/>
  <c r="V54" i="48"/>
  <c r="N55" i="48"/>
  <c r="R55" i="48" s="1"/>
  <c r="T55" i="48" s="1"/>
  <c r="V55" i="48"/>
  <c r="N56" i="48"/>
  <c r="R56" i="48" s="1"/>
  <c r="V56" i="48"/>
  <c r="N57" i="48"/>
  <c r="R57" i="48" s="1"/>
  <c r="V57" i="48"/>
  <c r="N58" i="48"/>
  <c r="R58" i="48" s="1"/>
  <c r="V58" i="48"/>
  <c r="N59" i="48"/>
  <c r="R59" i="48" s="1"/>
  <c r="V59" i="48"/>
  <c r="N60" i="48"/>
  <c r="R60" i="48" s="1"/>
  <c r="V60" i="48"/>
  <c r="N61" i="48"/>
  <c r="R61" i="48" s="1"/>
  <c r="T61" i="48" s="1"/>
  <c r="V61" i="48"/>
  <c r="N62" i="48"/>
  <c r="R62" i="48" s="1"/>
  <c r="V62" i="48"/>
  <c r="N63" i="48"/>
  <c r="R63" i="48" s="1"/>
  <c r="V63" i="48"/>
  <c r="N64" i="48"/>
  <c r="R64" i="48" s="1"/>
  <c r="S64" i="48" s="1"/>
  <c r="V64" i="48"/>
  <c r="N65" i="48"/>
  <c r="R65" i="48" s="1"/>
  <c r="V65" i="48"/>
  <c r="N66" i="48"/>
  <c r="R66" i="48" s="1"/>
  <c r="V66" i="48"/>
  <c r="N67" i="48"/>
  <c r="R67" i="48" s="1"/>
  <c r="V67" i="48"/>
  <c r="N68" i="48"/>
  <c r="R68" i="48" s="1"/>
  <c r="V68" i="48"/>
  <c r="N69" i="48"/>
  <c r="R69" i="48" s="1"/>
  <c r="V69" i="48"/>
  <c r="N70" i="48"/>
  <c r="R70" i="48" s="1"/>
  <c r="V70" i="48"/>
  <c r="N71" i="48"/>
  <c r="R71" i="48" s="1"/>
  <c r="V71" i="48"/>
  <c r="N72" i="48"/>
  <c r="R72" i="48"/>
  <c r="S72" i="48" s="1"/>
  <c r="V72" i="48"/>
  <c r="N73" i="48"/>
  <c r="R73" i="48" s="1"/>
  <c r="V73" i="48"/>
  <c r="N74" i="48"/>
  <c r="R74" i="48" s="1"/>
  <c r="V74" i="48"/>
  <c r="N75" i="48"/>
  <c r="R75" i="48" s="1"/>
  <c r="V75" i="48"/>
  <c r="N76" i="48"/>
  <c r="R76" i="48" s="1"/>
  <c r="V76" i="48"/>
  <c r="N77" i="48"/>
  <c r="R77" i="48" s="1"/>
  <c r="V77" i="48"/>
  <c r="N78" i="48"/>
  <c r="R78" i="48" s="1"/>
  <c r="U78" i="48" s="1"/>
  <c r="V78" i="48"/>
  <c r="N79" i="48"/>
  <c r="R79" i="48" s="1"/>
  <c r="V79" i="48"/>
  <c r="N80" i="48"/>
  <c r="R80" i="48" s="1"/>
  <c r="V80" i="48"/>
  <c r="N81" i="48"/>
  <c r="R81" i="48" s="1"/>
  <c r="V81" i="48"/>
  <c r="N82" i="48"/>
  <c r="R82" i="48" s="1"/>
  <c r="U82" i="48" s="1"/>
  <c r="V82" i="48"/>
  <c r="N83" i="48"/>
  <c r="R83" i="48" s="1"/>
  <c r="V83" i="48"/>
  <c r="N84" i="48"/>
  <c r="R84" i="48" s="1"/>
  <c r="V84" i="48"/>
  <c r="N85" i="48"/>
  <c r="R85" i="48" s="1"/>
  <c r="V85" i="48"/>
  <c r="N86" i="48"/>
  <c r="R86" i="48" s="1"/>
  <c r="V86" i="48"/>
  <c r="N87" i="48"/>
  <c r="R87" i="48" s="1"/>
  <c r="V87" i="48"/>
  <c r="N88" i="48"/>
  <c r="R88" i="48" s="1"/>
  <c r="V88" i="48"/>
  <c r="N89" i="48"/>
  <c r="R89" i="48" s="1"/>
  <c r="V89" i="48"/>
  <c r="N90" i="48"/>
  <c r="R90" i="48" s="1"/>
  <c r="V90" i="48"/>
  <c r="N91" i="48"/>
  <c r="R91" i="48" s="1"/>
  <c r="V91" i="48"/>
  <c r="N92" i="48"/>
  <c r="R92" i="48" s="1"/>
  <c r="V92" i="48"/>
  <c r="N93" i="48"/>
  <c r="R93" i="48" s="1"/>
  <c r="V93" i="48"/>
  <c r="N94" i="48"/>
  <c r="R94" i="48" s="1"/>
  <c r="V94" i="48"/>
  <c r="N95" i="48"/>
  <c r="R95" i="48" s="1"/>
  <c r="V95" i="48"/>
  <c r="N96" i="48"/>
  <c r="R96" i="48" s="1"/>
  <c r="V96" i="48"/>
  <c r="N97" i="48"/>
  <c r="R97" i="48" s="1"/>
  <c r="V97" i="48"/>
  <c r="N98" i="48"/>
  <c r="R98" i="48" s="1"/>
  <c r="V98" i="48"/>
  <c r="N99" i="48"/>
  <c r="R99" i="48" s="1"/>
  <c r="V99" i="48"/>
  <c r="N100" i="48"/>
  <c r="R100" i="48" s="1"/>
  <c r="V100" i="48"/>
  <c r="N101" i="48"/>
  <c r="R101" i="48" s="1"/>
  <c r="V101" i="48"/>
  <c r="N102" i="48"/>
  <c r="R102" i="48" s="1"/>
  <c r="V102" i="48"/>
  <c r="N103" i="48"/>
  <c r="R103" i="48" s="1"/>
  <c r="V103" i="48"/>
  <c r="N104" i="48"/>
  <c r="R104" i="48" s="1"/>
  <c r="V104" i="48"/>
  <c r="N105" i="48"/>
  <c r="R105" i="48" s="1"/>
  <c r="V105" i="48"/>
  <c r="N106" i="48"/>
  <c r="R106" i="48" s="1"/>
  <c r="V106" i="48"/>
  <c r="N107" i="48"/>
  <c r="R107" i="48" s="1"/>
  <c r="V107" i="48"/>
  <c r="N108" i="48"/>
  <c r="R108" i="48" s="1"/>
  <c r="V108" i="48"/>
  <c r="N109" i="48"/>
  <c r="R109" i="48" s="1"/>
  <c r="V109" i="48"/>
  <c r="N110" i="48"/>
  <c r="R110" i="48" s="1"/>
  <c r="V110" i="48"/>
  <c r="N111" i="48"/>
  <c r="R111" i="48" s="1"/>
  <c r="V111" i="48"/>
  <c r="N112" i="48"/>
  <c r="R112" i="48" s="1"/>
  <c r="V112" i="48"/>
  <c r="N113" i="48"/>
  <c r="R113" i="48" s="1"/>
  <c r="V113" i="48"/>
  <c r="N114" i="48"/>
  <c r="R114" i="48" s="1"/>
  <c r="V114" i="48"/>
  <c r="N115" i="48"/>
  <c r="R115" i="48" s="1"/>
  <c r="V115" i="48"/>
  <c r="N116" i="48"/>
  <c r="R116" i="48" s="1"/>
  <c r="V116" i="48"/>
  <c r="N117" i="48"/>
  <c r="R117" i="48" s="1"/>
  <c r="V117" i="48"/>
  <c r="N118" i="48"/>
  <c r="R118" i="48" s="1"/>
  <c r="V118" i="48"/>
  <c r="N119" i="48"/>
  <c r="R119" i="48" s="1"/>
  <c r="V119" i="48"/>
  <c r="N120" i="48"/>
  <c r="R120" i="48" s="1"/>
  <c r="V120" i="48"/>
  <c r="N121" i="48"/>
  <c r="R121" i="48" s="1"/>
  <c r="V121" i="48"/>
  <c r="N122" i="48"/>
  <c r="R122" i="48" s="1"/>
  <c r="V122" i="48"/>
  <c r="N123" i="48"/>
  <c r="R123" i="48" s="1"/>
  <c r="V123" i="48"/>
  <c r="N124" i="48"/>
  <c r="R124" i="48" s="1"/>
  <c r="T124" i="48" s="1"/>
  <c r="V124" i="48"/>
  <c r="N125" i="48"/>
  <c r="R125" i="48" s="1"/>
  <c r="V125" i="48"/>
  <c r="N126" i="48"/>
  <c r="R126" i="48" s="1"/>
  <c r="V126" i="48"/>
  <c r="N127" i="48"/>
  <c r="R127" i="48" s="1"/>
  <c r="V127" i="48"/>
  <c r="N128" i="48"/>
  <c r="R128" i="48" s="1"/>
  <c r="V128" i="48"/>
  <c r="N129" i="48"/>
  <c r="R129" i="48" s="1"/>
  <c r="V129" i="48"/>
  <c r="N130" i="48"/>
  <c r="R130" i="48" s="1"/>
  <c r="T130" i="48" s="1"/>
  <c r="V130" i="48"/>
  <c r="N131" i="48"/>
  <c r="R131" i="48" s="1"/>
  <c r="V131" i="48"/>
  <c r="N132" i="48"/>
  <c r="R132" i="48" s="1"/>
  <c r="V132" i="48"/>
  <c r="N133" i="48"/>
  <c r="R133" i="48" s="1"/>
  <c r="V133" i="48"/>
  <c r="N134" i="48"/>
  <c r="R134" i="48" s="1"/>
  <c r="V134" i="48"/>
  <c r="N135" i="48"/>
  <c r="R135" i="48" s="1"/>
  <c r="V135" i="48"/>
  <c r="N136" i="48"/>
  <c r="R136" i="48" s="1"/>
  <c r="V136" i="48"/>
  <c r="N137" i="48"/>
  <c r="R137" i="48" s="1"/>
  <c r="V137" i="48"/>
  <c r="N138" i="48"/>
  <c r="R138" i="48" s="1"/>
  <c r="V138" i="48"/>
  <c r="N139" i="48"/>
  <c r="R139" i="48" s="1"/>
  <c r="V139" i="48"/>
  <c r="N140" i="48"/>
  <c r="R140" i="48" s="1"/>
  <c r="V140" i="48"/>
  <c r="N141" i="48"/>
  <c r="R141" i="48" s="1"/>
  <c r="V141" i="48"/>
  <c r="N142" i="48"/>
  <c r="R142" i="48" s="1"/>
  <c r="V142" i="48"/>
  <c r="N143" i="48"/>
  <c r="R143" i="48" s="1"/>
  <c r="V143" i="48"/>
  <c r="N144" i="48"/>
  <c r="R144" i="48" s="1"/>
  <c r="V144" i="48"/>
  <c r="N145" i="48"/>
  <c r="R145" i="48" s="1"/>
  <c r="V145" i="48"/>
  <c r="N146" i="48"/>
  <c r="R146" i="48" s="1"/>
  <c r="V146" i="48"/>
  <c r="N147" i="48"/>
  <c r="R147" i="48" s="1"/>
  <c r="V147" i="48"/>
  <c r="N148" i="48"/>
  <c r="R148" i="48" s="1"/>
  <c r="V148" i="48"/>
  <c r="N149" i="48"/>
  <c r="R149" i="48" s="1"/>
  <c r="V149" i="48"/>
  <c r="N150" i="48"/>
  <c r="R150" i="48" s="1"/>
  <c r="V150" i="48"/>
  <c r="N151" i="48"/>
  <c r="R151" i="48" s="1"/>
  <c r="V151" i="48"/>
  <c r="N152" i="48"/>
  <c r="R152" i="48" s="1"/>
  <c r="V152" i="48"/>
  <c r="N153" i="48"/>
  <c r="R153" i="48" s="1"/>
  <c r="V153" i="48"/>
  <c r="N154" i="48"/>
  <c r="R154" i="48" s="1"/>
  <c r="V154" i="48"/>
  <c r="N155" i="48"/>
  <c r="R155" i="48" s="1"/>
  <c r="V155" i="48"/>
  <c r="N156" i="48"/>
  <c r="R156" i="48" s="1"/>
  <c r="V156" i="48"/>
  <c r="N157" i="48"/>
  <c r="R157" i="48" s="1"/>
  <c r="V157" i="48"/>
  <c r="N158" i="48"/>
  <c r="R158" i="48" s="1"/>
  <c r="V158" i="48"/>
  <c r="N159" i="48"/>
  <c r="R159" i="48" s="1"/>
  <c r="V159" i="48"/>
  <c r="N160" i="48"/>
  <c r="R160" i="48" s="1"/>
  <c r="V160" i="48"/>
  <c r="N161" i="48"/>
  <c r="R161" i="48" s="1"/>
  <c r="V161" i="48"/>
  <c r="N162" i="48"/>
  <c r="R162" i="48" s="1"/>
  <c r="V162" i="48"/>
  <c r="N163" i="48"/>
  <c r="R163" i="48" s="1"/>
  <c r="V163" i="48"/>
  <c r="N164" i="48"/>
  <c r="R164" i="48" s="1"/>
  <c r="V164" i="48"/>
  <c r="N165" i="48"/>
  <c r="R165" i="48" s="1"/>
  <c r="V165" i="48"/>
  <c r="N166" i="48"/>
  <c r="R166" i="48" s="1"/>
  <c r="V166" i="48"/>
  <c r="N167" i="48"/>
  <c r="R167" i="48" s="1"/>
  <c r="T167" i="48" s="1"/>
  <c r="V167" i="48"/>
  <c r="N168" i="48"/>
  <c r="R168" i="48" s="1"/>
  <c r="V168" i="48"/>
  <c r="N169" i="48"/>
  <c r="R169" i="48" s="1"/>
  <c r="V169" i="48"/>
  <c r="N170" i="48"/>
  <c r="R170" i="48" s="1"/>
  <c r="S170" i="48" s="1"/>
  <c r="V170" i="48"/>
  <c r="N171" i="48"/>
  <c r="R171" i="48" s="1"/>
  <c r="V171" i="48"/>
  <c r="N172" i="48"/>
  <c r="R172" i="48" s="1"/>
  <c r="V172" i="48"/>
  <c r="N173" i="48"/>
  <c r="R173" i="48" s="1"/>
  <c r="V173" i="48"/>
  <c r="N174" i="48"/>
  <c r="R174" i="48" s="1"/>
  <c r="V174" i="48"/>
  <c r="N175" i="48"/>
  <c r="R175" i="48" s="1"/>
  <c r="V175" i="48"/>
  <c r="N176" i="48"/>
  <c r="R176" i="48" s="1"/>
  <c r="V176" i="48"/>
  <c r="N177" i="48"/>
  <c r="R177" i="48" s="1"/>
  <c r="U177" i="48" s="1"/>
  <c r="V177" i="48"/>
  <c r="N178" i="48"/>
  <c r="R178" i="48" s="1"/>
  <c r="V178" i="48"/>
  <c r="N179" i="48"/>
  <c r="R179" i="48" s="1"/>
  <c r="V179" i="48"/>
  <c r="N180" i="48"/>
  <c r="R180" i="48" s="1"/>
  <c r="V180" i="48"/>
  <c r="N181" i="48"/>
  <c r="R181" i="48" s="1"/>
  <c r="U181" i="48" s="1"/>
  <c r="V181" i="48"/>
  <c r="N182" i="48"/>
  <c r="R182" i="48" s="1"/>
  <c r="V182" i="48"/>
  <c r="N183" i="48"/>
  <c r="R183" i="48" s="1"/>
  <c r="V183" i="48"/>
  <c r="N184" i="48"/>
  <c r="R184" i="48" s="1"/>
  <c r="V184" i="48"/>
  <c r="N185" i="48"/>
  <c r="R185" i="48" s="1"/>
  <c r="U185" i="48" s="1"/>
  <c r="V185" i="48"/>
  <c r="N186" i="48"/>
  <c r="R186" i="48" s="1"/>
  <c r="V186" i="48"/>
  <c r="N187" i="48"/>
  <c r="R187" i="48" s="1"/>
  <c r="V187" i="48"/>
  <c r="N188" i="48"/>
  <c r="R188" i="48" s="1"/>
  <c r="V188" i="48"/>
  <c r="N189" i="48"/>
  <c r="R189" i="48" s="1"/>
  <c r="V189" i="48"/>
  <c r="N190" i="48"/>
  <c r="R190" i="48" s="1"/>
  <c r="V190" i="48"/>
  <c r="N191" i="48"/>
  <c r="R191" i="48" s="1"/>
  <c r="V191" i="48"/>
  <c r="N192" i="48"/>
  <c r="R192" i="48" s="1"/>
  <c r="V192" i="48"/>
  <c r="N193" i="48"/>
  <c r="R193" i="48" s="1"/>
  <c r="V193" i="48"/>
  <c r="N194" i="48"/>
  <c r="R194" i="48"/>
  <c r="V194" i="48"/>
  <c r="N195" i="48"/>
  <c r="R195" i="48" s="1"/>
  <c r="V195" i="48"/>
  <c r="N196" i="48"/>
  <c r="R196" i="48" s="1"/>
  <c r="V196" i="48"/>
  <c r="N197" i="48"/>
  <c r="R197" i="48" s="1"/>
  <c r="U197" i="48" s="1"/>
  <c r="V197" i="48"/>
  <c r="N198" i="48"/>
  <c r="R198" i="48" s="1"/>
  <c r="V198" i="48"/>
  <c r="N199" i="48"/>
  <c r="R199" i="48" s="1"/>
  <c r="U199" i="48" s="1"/>
  <c r="V199" i="48"/>
  <c r="N200" i="48"/>
  <c r="R200" i="48" s="1"/>
  <c r="V200" i="48"/>
  <c r="N201" i="48"/>
  <c r="R201" i="48" s="1"/>
  <c r="U201" i="48" s="1"/>
  <c r="V201" i="48"/>
  <c r="C1" i="51"/>
  <c r="K1" i="51"/>
  <c r="D1" i="44"/>
  <c r="K1" i="44"/>
  <c r="C17" i="44"/>
  <c r="N11" i="48"/>
  <c r="R11" i="48" s="1"/>
  <c r="N12" i="48"/>
  <c r="R12" i="48" s="1"/>
  <c r="E57" i="16"/>
  <c r="E62" i="16" s="1"/>
  <c r="E80" i="37"/>
  <c r="E90" i="37"/>
  <c r="E95" i="37" s="1"/>
  <c r="E40" i="14"/>
  <c r="E59" i="11"/>
  <c r="E69" i="11" s="1"/>
  <c r="E47" i="10"/>
  <c r="E48" i="54"/>
  <c r="E67" i="8"/>
  <c r="E72" i="8" s="1"/>
  <c r="E49" i="9"/>
  <c r="E54" i="9" s="1"/>
  <c r="E98" i="43"/>
  <c r="E100" i="43" s="1"/>
  <c r="E108" i="43" s="1"/>
  <c r="E558" i="41" s="1"/>
  <c r="C33" i="27"/>
  <c r="H36" i="22"/>
  <c r="G40" i="23"/>
  <c r="D33" i="27" s="1"/>
  <c r="BG29" i="40"/>
  <c r="B33" i="27"/>
  <c r="E49" i="21"/>
  <c r="E58" i="21" s="1"/>
  <c r="E63" i="21" s="1"/>
  <c r="E64" i="20"/>
  <c r="E54" i="19"/>
  <c r="E52" i="10"/>
  <c r="D115" i="47"/>
  <c r="X115" i="47" s="1"/>
  <c r="S167" i="48"/>
  <c r="N13" i="48"/>
  <c r="R13" i="48" s="1"/>
  <c r="T64" i="48"/>
  <c r="T132" i="48"/>
  <c r="U195" i="48"/>
  <c r="U193" i="48"/>
  <c r="U191" i="48"/>
  <c r="U189" i="48"/>
  <c r="U187" i="48"/>
  <c r="U183" i="48"/>
  <c r="U171" i="48"/>
  <c r="U179" i="48"/>
  <c r="U175" i="48"/>
  <c r="U173" i="48"/>
  <c r="U167" i="48"/>
  <c r="U151" i="48"/>
  <c r="U149" i="48"/>
  <c r="U147" i="48"/>
  <c r="U145" i="48"/>
  <c r="U143" i="48"/>
  <c r="U141" i="48"/>
  <c r="U139" i="48"/>
  <c r="U137" i="48"/>
  <c r="U135" i="48"/>
  <c r="U133" i="48"/>
  <c r="U131" i="48"/>
  <c r="T129" i="48"/>
  <c r="T125" i="48"/>
  <c r="T123" i="48"/>
  <c r="T121" i="48"/>
  <c r="T117" i="48"/>
  <c r="T115" i="48"/>
  <c r="T113" i="48"/>
  <c r="T109" i="48"/>
  <c r="T105" i="48"/>
  <c r="T103" i="48"/>
  <c r="T101" i="48"/>
  <c r="S101" i="48"/>
  <c r="U101" i="48"/>
  <c r="T99" i="48"/>
  <c r="S99" i="48"/>
  <c r="U99" i="48"/>
  <c r="T97" i="48"/>
  <c r="AA97" i="48" s="1"/>
  <c r="AB97" i="48" s="1"/>
  <c r="S97" i="48"/>
  <c r="U97" i="48"/>
  <c r="T95" i="48"/>
  <c r="S95" i="48"/>
  <c r="U95" i="48"/>
  <c r="T93" i="48"/>
  <c r="S93" i="48"/>
  <c r="U93" i="48"/>
  <c r="AA93" i="48" s="1"/>
  <c r="AB93" i="48" s="1"/>
  <c r="T91" i="48"/>
  <c r="S91" i="48"/>
  <c r="AA91" i="48" s="1"/>
  <c r="AB91" i="48" s="1"/>
  <c r="U91" i="48"/>
  <c r="T89" i="48"/>
  <c r="AA89" i="48" s="1"/>
  <c r="AB89" i="48" s="1"/>
  <c r="S89" i="48"/>
  <c r="U89" i="48"/>
  <c r="T87" i="48"/>
  <c r="S87" i="48"/>
  <c r="U87" i="48"/>
  <c r="T85" i="48"/>
  <c r="S85" i="48"/>
  <c r="U85" i="48"/>
  <c r="T83" i="48"/>
  <c r="S83" i="48"/>
  <c r="U83" i="48"/>
  <c r="T128" i="48"/>
  <c r="T116" i="48"/>
  <c r="T112" i="48"/>
  <c r="T108" i="48"/>
  <c r="T104" i="48"/>
  <c r="U81" i="48"/>
  <c r="U80" i="48"/>
  <c r="U79" i="48"/>
  <c r="U72" i="48"/>
  <c r="U64" i="48"/>
  <c r="T56" i="48"/>
  <c r="T54" i="48"/>
  <c r="T52" i="48"/>
  <c r="S52" i="48"/>
  <c r="U52" i="48"/>
  <c r="T50" i="48"/>
  <c r="S50" i="48"/>
  <c r="U50" i="48"/>
  <c r="T48" i="48"/>
  <c r="S48" i="48"/>
  <c r="U48" i="48"/>
  <c r="U46" i="48"/>
  <c r="U44" i="48"/>
  <c r="U42" i="48"/>
  <c r="U40" i="48"/>
  <c r="U38" i="48"/>
  <c r="U36" i="48"/>
  <c r="U34" i="48"/>
  <c r="U32" i="48"/>
  <c r="N14" i="48"/>
  <c r="R14" i="48" s="1"/>
  <c r="N15" i="48"/>
  <c r="R15" i="48" s="1"/>
  <c r="N21" i="48"/>
  <c r="R21" i="48" s="1"/>
  <c r="N16" i="48"/>
  <c r="R16" i="48" s="1"/>
  <c r="N17" i="48"/>
  <c r="R17" i="48" s="1"/>
  <c r="N22" i="48"/>
  <c r="R22" i="48" s="1"/>
  <c r="N23" i="48"/>
  <c r="R23" i="48" s="1"/>
  <c r="N18" i="48"/>
  <c r="R18" i="48" s="1"/>
  <c r="N19" i="48"/>
  <c r="R19" i="48"/>
  <c r="T19" i="48" s="1"/>
  <c r="N24" i="48"/>
  <c r="R24" i="48" s="1"/>
  <c r="N25" i="48"/>
  <c r="R25" i="48" s="1"/>
  <c r="N20" i="48"/>
  <c r="R20" i="48" s="1"/>
  <c r="S20" i="48" s="1"/>
  <c r="N26" i="48"/>
  <c r="R26" i="48" s="1"/>
  <c r="N27" i="48"/>
  <c r="R27" i="48" s="1"/>
  <c r="N28" i="48"/>
  <c r="R28" i="48" s="1"/>
  <c r="S28" i="48" s="1"/>
  <c r="N29" i="48"/>
  <c r="R29" i="48" s="1"/>
  <c r="N30" i="48"/>
  <c r="R30" i="48" s="1"/>
  <c r="N31" i="48"/>
  <c r="R31" i="48" s="1"/>
  <c r="T31" i="48" s="1"/>
  <c r="AA95" i="48" l="1"/>
  <c r="AB95" i="48" s="1"/>
  <c r="C20" i="29"/>
  <c r="F23" i="40"/>
  <c r="E529" i="5"/>
  <c r="E540" i="5" s="1"/>
  <c r="E552" i="5" s="1"/>
  <c r="E558" i="5" s="1"/>
  <c r="I65" i="8"/>
  <c r="I26" i="30" s="1"/>
  <c r="G46" i="12"/>
  <c r="G51" i="12" s="1"/>
  <c r="D71" i="6"/>
  <c r="D81" i="6" s="1"/>
  <c r="D86" i="6" s="1"/>
  <c r="X115" i="52"/>
  <c r="I34" i="20"/>
  <c r="B1084" i="4"/>
  <c r="B1106" i="4"/>
  <c r="S2" i="52"/>
  <c r="K2" i="52"/>
  <c r="I153" i="53"/>
  <c r="I170" i="53" s="1"/>
  <c r="I181" i="53" s="1"/>
  <c r="I186" i="53" s="1"/>
  <c r="AN181" i="40"/>
  <c r="I55" i="16"/>
  <c r="K26" i="30" s="1"/>
  <c r="I22" i="16"/>
  <c r="I40" i="23"/>
  <c r="I558" i="41"/>
  <c r="R2" i="52"/>
  <c r="G153" i="53"/>
  <c r="G170" i="53" s="1"/>
  <c r="G181" i="53" s="1"/>
  <c r="G186" i="53" s="1"/>
  <c r="H86" i="6"/>
  <c r="I88" i="7"/>
  <c r="I184" i="7" s="1"/>
  <c r="B21" i="27"/>
  <c r="I49" i="12"/>
  <c r="I22" i="55"/>
  <c r="I24" i="55" s="1"/>
  <c r="I49" i="55" s="1"/>
  <c r="I70" i="37"/>
  <c r="C60" i="24"/>
  <c r="I76" i="37"/>
  <c r="AJ173" i="40" s="1"/>
  <c r="AJ174" i="40" s="1"/>
  <c r="H57" i="16"/>
  <c r="H62" i="16" s="1"/>
  <c r="D527" i="5"/>
  <c r="S194" i="48"/>
  <c r="U194" i="48"/>
  <c r="B1087" i="4"/>
  <c r="B1082" i="4"/>
  <c r="H181" i="40"/>
  <c r="I47" i="9"/>
  <c r="D26" i="30" s="1"/>
  <c r="W2" i="52"/>
  <c r="O2" i="52"/>
  <c r="T2" i="52"/>
  <c r="G153" i="7"/>
  <c r="G170" i="7" s="1"/>
  <c r="G181" i="7" s="1"/>
  <c r="G186" i="7" s="1"/>
  <c r="V181" i="40"/>
  <c r="I45" i="10"/>
  <c r="B19" i="27"/>
  <c r="I50" i="10"/>
  <c r="E24" i="32"/>
  <c r="D527" i="41"/>
  <c r="AA85" i="48"/>
  <c r="AB85" i="48" s="1"/>
  <c r="AA101" i="48"/>
  <c r="AB101" i="48" s="1"/>
  <c r="B1100" i="42"/>
  <c r="B1088" i="42"/>
  <c r="H49" i="9"/>
  <c r="D116" i="34"/>
  <c r="D127" i="34" s="1"/>
  <c r="H54" i="7"/>
  <c r="J54" i="7" s="1"/>
  <c r="H2" i="47"/>
  <c r="V2" i="47"/>
  <c r="J2" i="47"/>
  <c r="M2" i="47"/>
  <c r="F153" i="7"/>
  <c r="F170" i="7" s="1"/>
  <c r="F181" i="7" s="1"/>
  <c r="F186" i="7" s="1"/>
  <c r="AJ184" i="40"/>
  <c r="I88" i="37"/>
  <c r="H80" i="37"/>
  <c r="H90" i="37" s="1"/>
  <c r="H95" i="37" s="1"/>
  <c r="H38" i="22"/>
  <c r="C29" i="24" s="1"/>
  <c r="I130" i="34"/>
  <c r="S130" i="48"/>
  <c r="AA130" i="48" s="1"/>
  <c r="AB130" i="48" s="1"/>
  <c r="U130" i="48"/>
  <c r="B1095" i="4"/>
  <c r="B1094" i="4"/>
  <c r="E74" i="11"/>
  <c r="I537" i="5"/>
  <c r="BI185" i="40"/>
  <c r="B1108" i="42"/>
  <c r="B1086" i="42"/>
  <c r="C20" i="30"/>
  <c r="D132" i="34"/>
  <c r="X42" i="40"/>
  <c r="I49" i="11"/>
  <c r="J21" i="30" s="1"/>
  <c r="AD186" i="40"/>
  <c r="G59" i="20"/>
  <c r="G64" i="20" s="1"/>
  <c r="B31" i="27"/>
  <c r="I61" i="21"/>
  <c r="AW10" i="40"/>
  <c r="AW18" i="40" s="1"/>
  <c r="F10" i="31"/>
  <c r="F14" i="31" s="1"/>
  <c r="V9" i="48"/>
  <c r="B1108" i="4"/>
  <c r="BI45" i="40"/>
  <c r="AA64" i="48"/>
  <c r="AB64" i="48" s="1"/>
  <c r="D17" i="44"/>
  <c r="C18" i="44"/>
  <c r="C19" i="44" s="1"/>
  <c r="C20" i="44" s="1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C45" i="44" s="1"/>
  <c r="C46" i="44" s="1"/>
  <c r="C47" i="44" s="1"/>
  <c r="B1109" i="4"/>
  <c r="B1091" i="4"/>
  <c r="B1083" i="4"/>
  <c r="B1086" i="4"/>
  <c r="H1074" i="4"/>
  <c r="H529" i="5" s="1"/>
  <c r="B1098" i="4"/>
  <c r="B1090" i="4"/>
  <c r="B1110" i="42"/>
  <c r="B1084" i="42"/>
  <c r="I37" i="17"/>
  <c r="L21" i="30" s="1"/>
  <c r="E50" i="18"/>
  <c r="D110" i="3"/>
  <c r="D560" i="5" s="1"/>
  <c r="B1092" i="42"/>
  <c r="J45" i="40"/>
  <c r="F86" i="6"/>
  <c r="E88" i="7"/>
  <c r="E184" i="7" s="1"/>
  <c r="E186" i="7" s="1"/>
  <c r="R43" i="40"/>
  <c r="I55" i="8"/>
  <c r="I12" i="30" s="1"/>
  <c r="I18" i="30" s="1"/>
  <c r="I37" i="12"/>
  <c r="F51" i="55"/>
  <c r="AP38" i="40"/>
  <c r="E49" i="39"/>
  <c r="E58" i="39" s="1"/>
  <c r="E63" i="39" s="1"/>
  <c r="T72" i="48"/>
  <c r="AA72" i="48" s="1"/>
  <c r="AB72" i="48" s="1"/>
  <c r="I98" i="3"/>
  <c r="B1098" i="42"/>
  <c r="B1090" i="42"/>
  <c r="D1074" i="42"/>
  <c r="D529" i="41" s="1"/>
  <c r="D540" i="41" s="1"/>
  <c r="D550" i="41" s="1"/>
  <c r="D556" i="41" s="1"/>
  <c r="E527" i="41"/>
  <c r="E529" i="41" s="1"/>
  <c r="E540" i="41" s="1"/>
  <c r="E550" i="41" s="1"/>
  <c r="E556" i="41" s="1"/>
  <c r="E560" i="41" s="1"/>
  <c r="D49" i="9"/>
  <c r="D54" i="9" s="1"/>
  <c r="V2" i="52"/>
  <c r="N2" i="52"/>
  <c r="F2" i="52"/>
  <c r="I79" i="6"/>
  <c r="G26" i="30" s="1"/>
  <c r="L2" i="47"/>
  <c r="G2" i="47"/>
  <c r="O2" i="47"/>
  <c r="W2" i="47"/>
  <c r="D48" i="54"/>
  <c r="D53" i="54" s="1"/>
  <c r="AD181" i="40"/>
  <c r="I44" i="55"/>
  <c r="E51" i="55"/>
  <c r="D57" i="16"/>
  <c r="D62" i="16" s="1"/>
  <c r="AU181" i="40"/>
  <c r="I43" i="18"/>
  <c r="M26" i="30" s="1"/>
  <c r="AU37" i="40"/>
  <c r="H58" i="21"/>
  <c r="H63" i="21" s="1"/>
  <c r="L19" i="29"/>
  <c r="C20" i="31"/>
  <c r="AR156" i="40"/>
  <c r="AR176" i="40" s="1"/>
  <c r="AR188" i="40" s="1"/>
  <c r="AC156" i="40"/>
  <c r="L156" i="40"/>
  <c r="I46" i="55"/>
  <c r="D49" i="21"/>
  <c r="D58" i="21" s="1"/>
  <c r="D63" i="21" s="1"/>
  <c r="X12" i="47"/>
  <c r="B1110" i="4"/>
  <c r="F89" i="40"/>
  <c r="BI89" i="40" s="1"/>
  <c r="F72" i="40"/>
  <c r="H527" i="41"/>
  <c r="E2" i="52"/>
  <c r="A10" i="53" s="1"/>
  <c r="M2" i="52"/>
  <c r="U2" i="52"/>
  <c r="E67" i="53"/>
  <c r="E88" i="53" s="1"/>
  <c r="E184" i="53" s="1"/>
  <c r="I27" i="6"/>
  <c r="U2" i="47"/>
  <c r="S2" i="47"/>
  <c r="K2" i="47"/>
  <c r="I181" i="7"/>
  <c r="I186" i="7" s="1"/>
  <c r="R46" i="40"/>
  <c r="F57" i="8"/>
  <c r="F67" i="8" s="1"/>
  <c r="X181" i="40"/>
  <c r="I67" i="11"/>
  <c r="F59" i="11"/>
  <c r="F69" i="11" s="1"/>
  <c r="D59" i="11"/>
  <c r="D69" i="11" s="1"/>
  <c r="D74" i="11" s="1"/>
  <c r="AC180" i="40"/>
  <c r="I44" i="12"/>
  <c r="B26" i="32" s="1"/>
  <c r="G46" i="55"/>
  <c r="G51" i="55" s="1"/>
  <c r="D10" i="31"/>
  <c r="I18" i="13"/>
  <c r="I20" i="13" s="1"/>
  <c r="AJ46" i="40"/>
  <c r="AJ35" i="40"/>
  <c r="H47" i="17"/>
  <c r="H52" i="17" s="1"/>
  <c r="BC186" i="40"/>
  <c r="F8" i="31"/>
  <c r="E100" i="3"/>
  <c r="E102" i="3" s="1"/>
  <c r="E110" i="3" s="1"/>
  <c r="E560" i="5" s="1"/>
  <c r="B1104" i="4"/>
  <c r="B1088" i="4"/>
  <c r="E527" i="5"/>
  <c r="L2" i="52"/>
  <c r="D51" i="55"/>
  <c r="I56" i="21"/>
  <c r="B1111" i="4"/>
  <c r="B1099" i="4"/>
  <c r="B1093" i="4"/>
  <c r="B1085" i="4"/>
  <c r="BI180" i="40"/>
  <c r="I538" i="5"/>
  <c r="B1106" i="42"/>
  <c r="I548" i="41"/>
  <c r="C26" i="30" s="1"/>
  <c r="G49" i="9"/>
  <c r="J2" i="52"/>
  <c r="F170" i="53"/>
  <c r="F181" i="53" s="1"/>
  <c r="F186" i="53" s="1"/>
  <c r="T2" i="47"/>
  <c r="F2" i="47"/>
  <c r="A10" i="7" s="1"/>
  <c r="P181" i="40"/>
  <c r="J179" i="7"/>
  <c r="H26" i="30" s="1"/>
  <c r="D47" i="10"/>
  <c r="I43" i="13"/>
  <c r="D12" i="32" s="1"/>
  <c r="D18" i="32" s="1"/>
  <c r="D53" i="13"/>
  <c r="D58" i="13" s="1"/>
  <c r="AH37" i="40"/>
  <c r="F62" i="16"/>
  <c r="AP181" i="40"/>
  <c r="AP186" i="40" s="1"/>
  <c r="I47" i="19"/>
  <c r="AU156" i="40"/>
  <c r="B1096" i="4"/>
  <c r="BI179" i="40"/>
  <c r="E116" i="34"/>
  <c r="E127" i="34" s="1"/>
  <c r="E132" i="34" s="1"/>
  <c r="H72" i="8"/>
  <c r="AA48" i="48"/>
  <c r="AB48" i="48" s="1"/>
  <c r="AA99" i="48"/>
  <c r="AB99" i="48" s="1"/>
  <c r="I75" i="3"/>
  <c r="H98" i="43"/>
  <c r="H100" i="43" s="1"/>
  <c r="H108" i="43" s="1"/>
  <c r="H558" i="41" s="1"/>
  <c r="B1102" i="42"/>
  <c r="B1094" i="42"/>
  <c r="F1074" i="42"/>
  <c r="F49" i="9"/>
  <c r="F54" i="9" s="1"/>
  <c r="E170" i="53"/>
  <c r="E181" i="53" s="1"/>
  <c r="G52" i="17"/>
  <c r="H54" i="19"/>
  <c r="F63" i="21"/>
  <c r="F16" i="31"/>
  <c r="BA156" i="40"/>
  <c r="BA176" i="40" s="1"/>
  <c r="BA188" i="40" s="1"/>
  <c r="T156" i="40"/>
  <c r="D162" i="40"/>
  <c r="BI162" i="40" s="1"/>
  <c r="D142" i="40"/>
  <c r="D107" i="40"/>
  <c r="BI107" i="40" s="1"/>
  <c r="I96" i="43"/>
  <c r="X12" i="52"/>
  <c r="AJ27" i="40"/>
  <c r="K13" i="29"/>
  <c r="F47" i="17"/>
  <c r="F52" i="17" s="1"/>
  <c r="C64" i="24"/>
  <c r="BC37" i="40"/>
  <c r="C66" i="24"/>
  <c r="I108" i="3"/>
  <c r="B1107" i="4"/>
  <c r="B1103" i="4"/>
  <c r="B1097" i="4"/>
  <c r="B1089" i="4"/>
  <c r="B1081" i="4"/>
  <c r="B1082" i="42"/>
  <c r="I16" i="9"/>
  <c r="I18" i="9" s="1"/>
  <c r="B12" i="27" s="1"/>
  <c r="I46" i="6"/>
  <c r="G86" i="6"/>
  <c r="H47" i="10"/>
  <c r="H52" i="10" s="1"/>
  <c r="X46" i="40"/>
  <c r="F46" i="12"/>
  <c r="F51" i="12" s="1"/>
  <c r="H46" i="55"/>
  <c r="H51" i="55" s="1"/>
  <c r="G80" i="37"/>
  <c r="G90" i="37" s="1"/>
  <c r="G95" i="37" s="1"/>
  <c r="AN126" i="40"/>
  <c r="F45" i="18"/>
  <c r="F50" i="18" s="1"/>
  <c r="I57" i="20"/>
  <c r="F26" i="32" s="1"/>
  <c r="AA156" i="40"/>
  <c r="AA176" i="40" s="1"/>
  <c r="AA188" i="40" s="1"/>
  <c r="AA192" i="40" s="1"/>
  <c r="BI98" i="40"/>
  <c r="H527" i="5"/>
  <c r="F98" i="43"/>
  <c r="F100" i="43" s="1"/>
  <c r="F108" i="43" s="1"/>
  <c r="F558" i="41" s="1"/>
  <c r="H57" i="8"/>
  <c r="H67" i="8" s="1"/>
  <c r="G49" i="19"/>
  <c r="G54" i="19" s="1"/>
  <c r="BC44" i="40"/>
  <c r="AF156" i="40"/>
  <c r="P156" i="40"/>
  <c r="T159" i="48"/>
  <c r="U159" i="48"/>
  <c r="S159" i="48"/>
  <c r="S127" i="48"/>
  <c r="U127" i="48"/>
  <c r="T127" i="48"/>
  <c r="AA127" i="48" s="1"/>
  <c r="AB127" i="48" s="1"/>
  <c r="S118" i="48"/>
  <c r="U118" i="48"/>
  <c r="T118" i="48"/>
  <c r="S107" i="48"/>
  <c r="U107" i="48"/>
  <c r="T107" i="48"/>
  <c r="T98" i="48"/>
  <c r="AA98" i="48" s="1"/>
  <c r="AB98" i="48" s="1"/>
  <c r="U98" i="48"/>
  <c r="S98" i="48"/>
  <c r="T90" i="48"/>
  <c r="S90" i="48"/>
  <c r="U90" i="48"/>
  <c r="S76" i="48"/>
  <c r="T76" i="48"/>
  <c r="AA76" i="48" s="1"/>
  <c r="AB76" i="48" s="1"/>
  <c r="U76" i="48"/>
  <c r="S60" i="48"/>
  <c r="T60" i="48"/>
  <c r="S186" i="48"/>
  <c r="T186" i="48"/>
  <c r="U186" i="48"/>
  <c r="S68" i="48"/>
  <c r="T68" i="48"/>
  <c r="AA68" i="48" s="1"/>
  <c r="AB68" i="48" s="1"/>
  <c r="U68" i="48"/>
  <c r="U31" i="48"/>
  <c r="AA87" i="48"/>
  <c r="AB87" i="48" s="1"/>
  <c r="AA167" i="48"/>
  <c r="AB167" i="48" s="1"/>
  <c r="T194" i="48"/>
  <c r="AA194" i="48" s="1"/>
  <c r="AB194" i="48" s="1"/>
  <c r="F540" i="5"/>
  <c r="F552" i="5" s="1"/>
  <c r="F558" i="5" s="1"/>
  <c r="AA52" i="48"/>
  <c r="AB52" i="48" s="1"/>
  <c r="I538" i="41"/>
  <c r="AW186" i="40"/>
  <c r="S190" i="48"/>
  <c r="T190" i="48"/>
  <c r="U190" i="48"/>
  <c r="T163" i="48"/>
  <c r="S163" i="48"/>
  <c r="U163" i="48"/>
  <c r="S120" i="48"/>
  <c r="U120" i="48"/>
  <c r="T120" i="48"/>
  <c r="S14" i="48"/>
  <c r="F34" i="52" a="1"/>
  <c r="F34" i="52" s="1"/>
  <c r="O44" i="47" a="1"/>
  <c r="O44" i="47" s="1"/>
  <c r="J24" i="47" a="1"/>
  <c r="J24" i="47" s="1"/>
  <c r="S93" i="52" a="1"/>
  <c r="S93" i="52" s="1"/>
  <c r="M34" i="52" a="1"/>
  <c r="M34" i="52" s="1"/>
  <c r="P54" i="47" a="1"/>
  <c r="P54" i="47" s="1"/>
  <c r="G326" i="41" a="1"/>
  <c r="G326" i="41" s="1"/>
  <c r="I326" i="41" s="1"/>
  <c r="F113" i="40" s="1"/>
  <c r="G84" i="5" a="1"/>
  <c r="G84" i="5" s="1"/>
  <c r="I84" i="5" s="1"/>
  <c r="L70" i="52" a="1"/>
  <c r="L70" i="52" s="1"/>
  <c r="S93" i="47" a="1"/>
  <c r="S93" i="47" s="1"/>
  <c r="L70" i="47" a="1"/>
  <c r="L70" i="47" s="1"/>
  <c r="G191" i="42" a="1"/>
  <c r="G191" i="42" s="1"/>
  <c r="I191" i="42" s="1"/>
  <c r="O81" i="52" a="1"/>
  <c r="O81" i="52" s="1"/>
  <c r="R24" i="52" a="1"/>
  <c r="R24" i="52" s="1"/>
  <c r="S44" i="47" a="1"/>
  <c r="S44" i="47" s="1"/>
  <c r="N24" i="47" a="1"/>
  <c r="N24" i="47" s="1"/>
  <c r="U93" i="52" a="1"/>
  <c r="U93" i="52" s="1"/>
  <c r="D14" i="52" a="1"/>
  <c r="D14" i="52" s="1"/>
  <c r="E54" i="47" a="1"/>
  <c r="E54" i="47" s="1"/>
  <c r="G226" i="42" a="1"/>
  <c r="G226" i="42" s="1"/>
  <c r="I226" i="42" s="1"/>
  <c r="L44" i="52" a="1"/>
  <c r="L44" i="52" s="1"/>
  <c r="L44" i="47" a="1"/>
  <c r="L44" i="47" s="1"/>
  <c r="H54" i="52" a="1"/>
  <c r="H54" i="52" s="1"/>
  <c r="O70" i="47" a="1"/>
  <c r="O70" i="47" s="1"/>
  <c r="G294" i="41" a="1"/>
  <c r="G294" i="41" s="1"/>
  <c r="I294" i="41" s="1"/>
  <c r="F104" i="40" s="1"/>
  <c r="D34" i="52" a="1"/>
  <c r="D34" i="52" s="1"/>
  <c r="G29" i="8" a="1"/>
  <c r="G29" i="8" s="1"/>
  <c r="G81" i="47" a="1"/>
  <c r="G81" i="47" s="1"/>
  <c r="E14" i="47" a="1"/>
  <c r="E14" i="47" s="1"/>
  <c r="G387" i="41" a="1"/>
  <c r="G387" i="41" s="1"/>
  <c r="I387" i="41" s="1"/>
  <c r="T81" i="52" a="1"/>
  <c r="T81" i="52" s="1"/>
  <c r="I34" i="47" a="1"/>
  <c r="I34" i="47" s="1"/>
  <c r="G47" i="42" a="1"/>
  <c r="G47" i="42" s="1"/>
  <c r="I47" i="42" s="1"/>
  <c r="K81" i="52" a="1"/>
  <c r="K81" i="52" s="1"/>
  <c r="N24" i="52" a="1"/>
  <c r="N24" i="52" s="1"/>
  <c r="M54" i="47" a="1"/>
  <c r="M54" i="47" s="1"/>
  <c r="F44" i="47" a="1"/>
  <c r="F44" i="47" s="1"/>
  <c r="G445" i="42" a="1"/>
  <c r="G445" i="42" s="1"/>
  <c r="I445" i="42" s="1"/>
  <c r="S70" i="47" a="1"/>
  <c r="S70" i="47" s="1"/>
  <c r="S54" i="52" a="1"/>
  <c r="S54" i="52" s="1"/>
  <c r="R70" i="47" a="1"/>
  <c r="R70" i="47" s="1"/>
  <c r="E81" i="52" a="1"/>
  <c r="E81" i="52" s="1"/>
  <c r="S14" i="52" a="1"/>
  <c r="S14" i="52" s="1"/>
  <c r="X14" i="52" s="1"/>
  <c r="P34" i="52" a="1"/>
  <c r="P34" i="52" s="1"/>
  <c r="I24" i="47" a="1"/>
  <c r="I24" i="47" s="1"/>
  <c r="G70" i="52" a="1"/>
  <c r="G70" i="52" s="1"/>
  <c r="G70" i="47" a="1"/>
  <c r="G70" i="47" s="1"/>
  <c r="G47" i="41" a="1"/>
  <c r="G47" i="41" s="1"/>
  <c r="I47" i="41" s="1"/>
  <c r="P14" i="52" a="1"/>
  <c r="P14" i="52" s="1"/>
  <c r="C115" i="24" a="1"/>
  <c r="C115" i="24" s="1"/>
  <c r="S34" i="52" a="1"/>
  <c r="S34" i="52" s="1"/>
  <c r="G155" i="4" a="1"/>
  <c r="G155" i="4" s="1"/>
  <c r="I155" i="4" s="1"/>
  <c r="R70" i="52" a="1"/>
  <c r="R70" i="52" s="1"/>
  <c r="X70" i="52" s="1"/>
  <c r="T14" i="52" a="1"/>
  <c r="T14" i="52" s="1"/>
  <c r="C137" i="24" a="1"/>
  <c r="C137" i="24" s="1"/>
  <c r="G630" i="4" a="1"/>
  <c r="G630" i="4" s="1"/>
  <c r="I630" i="4" s="1"/>
  <c r="I70" i="52" a="1"/>
  <c r="I70" i="52" s="1"/>
  <c r="L81" i="47" a="1"/>
  <c r="L81" i="47" s="1"/>
  <c r="I70" i="47" a="1"/>
  <c r="I70" i="47" s="1"/>
  <c r="C148" i="24" a="1"/>
  <c r="C148" i="24" s="1"/>
  <c r="G410" i="41" a="1"/>
  <c r="G410" i="41" s="1"/>
  <c r="I410" i="41" s="1"/>
  <c r="W70" i="52" a="1"/>
  <c r="W70" i="52" s="1"/>
  <c r="F24" i="52" a="1"/>
  <c r="F24" i="52" s="1"/>
  <c r="H34" i="47" a="1"/>
  <c r="H34" i="47" s="1"/>
  <c r="M81" i="52" a="1"/>
  <c r="M81" i="52" s="1"/>
  <c r="V34" i="47" a="1"/>
  <c r="V34" i="47" s="1"/>
  <c r="J44" i="52" a="1"/>
  <c r="J44" i="52" s="1"/>
  <c r="I93" i="47" a="1"/>
  <c r="I93" i="47" s="1"/>
  <c r="V44" i="47" a="1"/>
  <c r="V44" i="47" s="1"/>
  <c r="G816" i="4" a="1"/>
  <c r="G816" i="4" s="1"/>
  <c r="I816" i="4" s="1"/>
  <c r="Q44" i="52" a="1"/>
  <c r="Q44" i="52" s="1"/>
  <c r="T34" i="52" a="1"/>
  <c r="T34" i="52" s="1"/>
  <c r="Q44" i="47" a="1"/>
  <c r="Q44" i="47" s="1"/>
  <c r="L24" i="47" a="1"/>
  <c r="L24" i="47" s="1"/>
  <c r="V54" i="52" a="1"/>
  <c r="V54" i="52" s="1"/>
  <c r="W81" i="47" a="1"/>
  <c r="W81" i="47" s="1"/>
  <c r="F14" i="52" a="1"/>
  <c r="F14" i="52" s="1"/>
  <c r="G155" i="42" a="1"/>
  <c r="G155" i="42" s="1"/>
  <c r="I155" i="42" s="1"/>
  <c r="G294" i="5" a="1"/>
  <c r="G294" i="5" s="1"/>
  <c r="I294" i="5" s="1"/>
  <c r="D104" i="40" s="1"/>
  <c r="BI104" i="40" s="1"/>
  <c r="V81" i="52" a="1"/>
  <c r="V81" i="52" s="1"/>
  <c r="M93" i="47" a="1"/>
  <c r="M93" i="47" s="1"/>
  <c r="F70" i="47" a="1"/>
  <c r="F70" i="47" s="1"/>
  <c r="G742" i="4" a="1"/>
  <c r="G742" i="4" s="1"/>
  <c r="I742" i="4" s="1"/>
  <c r="Q81" i="52" a="1"/>
  <c r="Q81" i="52" s="1"/>
  <c r="G1038" i="42" a="1"/>
  <c r="G1038" i="42" s="1"/>
  <c r="I1038" i="42" s="1"/>
  <c r="K54" i="52" a="1"/>
  <c r="K54" i="52" s="1"/>
  <c r="M81" i="47" a="1"/>
  <c r="M81" i="47" s="1"/>
  <c r="P93" i="47" a="1"/>
  <c r="P93" i="47" s="1"/>
  <c r="G25" i="54" a="1"/>
  <c r="G25" i="54" s="1"/>
  <c r="G816" i="42" a="1"/>
  <c r="G816" i="42" s="1"/>
  <c r="I816" i="42" s="1"/>
  <c r="D70" i="52" a="1"/>
  <c r="D70" i="52" s="1"/>
  <c r="K93" i="47" a="1"/>
  <c r="K93" i="47" s="1"/>
  <c r="D70" i="47" a="1"/>
  <c r="D70" i="47" s="1"/>
  <c r="G464" i="41" a="1"/>
  <c r="G464" i="41" s="1"/>
  <c r="I464" i="41" s="1"/>
  <c r="F148" i="40" s="1"/>
  <c r="G81" i="52" a="1"/>
  <c r="G81" i="52" s="1"/>
  <c r="J24" i="52" a="1"/>
  <c r="J24" i="52" s="1"/>
  <c r="K44" i="47" a="1"/>
  <c r="K44" i="47" s="1"/>
  <c r="H24" i="47" a="1"/>
  <c r="H24" i="47" s="1"/>
  <c r="Q93" i="52" a="1"/>
  <c r="Q93" i="52" s="1"/>
  <c r="Q81" i="47" a="1"/>
  <c r="Q81" i="47" s="1"/>
  <c r="T93" i="47" a="1"/>
  <c r="T93" i="47" s="1"/>
  <c r="G14" i="47" a="1"/>
  <c r="G14" i="47" s="1"/>
  <c r="G742" i="42" a="1"/>
  <c r="G742" i="42" s="1"/>
  <c r="I742" i="42" s="1"/>
  <c r="G371" i="4" a="1"/>
  <c r="G371" i="4" s="1"/>
  <c r="I371" i="4" s="1"/>
  <c r="K81" i="47" a="1"/>
  <c r="K81" i="47" s="1"/>
  <c r="M14" i="47" a="1"/>
  <c r="M14" i="47" s="1"/>
  <c r="W54" i="52" a="1"/>
  <c r="W54" i="52" s="1"/>
  <c r="H14" i="52" a="1"/>
  <c r="H14" i="52" s="1"/>
  <c r="G32" i="16" a="1"/>
  <c r="G32" i="16" s="1"/>
  <c r="K34" i="52" a="1"/>
  <c r="K34" i="52" s="1"/>
  <c r="G705" i="4" a="1"/>
  <c r="G705" i="4" s="1"/>
  <c r="I705" i="4" s="1"/>
  <c r="J70" i="52" a="1"/>
  <c r="J70" i="52" s="1"/>
  <c r="E34" i="47" a="1"/>
  <c r="E34" i="47" s="1"/>
  <c r="U81" i="52" a="1"/>
  <c r="U81" i="52" s="1"/>
  <c r="K54" i="47" a="1"/>
  <c r="K54" i="47" s="1"/>
  <c r="K70" i="47" a="1"/>
  <c r="K70" i="47" s="1"/>
  <c r="O54" i="52" a="1"/>
  <c r="O54" i="52" s="1"/>
  <c r="G44" i="47" a="1"/>
  <c r="G44" i="47" s="1"/>
  <c r="F24" i="47" a="1"/>
  <c r="F24" i="47" s="1"/>
  <c r="O93" i="52" a="1"/>
  <c r="O93" i="52" s="1"/>
  <c r="U44" i="52" a="1"/>
  <c r="U44" i="52" s="1"/>
  <c r="D81" i="47" a="1"/>
  <c r="D81" i="47" s="1"/>
  <c r="U44" i="47" a="1"/>
  <c r="U44" i="47" s="1"/>
  <c r="P24" i="47" a="1"/>
  <c r="P24" i="47" s="1"/>
  <c r="O34" i="52" a="1"/>
  <c r="O34" i="52" s="1"/>
  <c r="P93" i="52" a="1"/>
  <c r="P93" i="52" s="1"/>
  <c r="R44" i="52" a="1"/>
  <c r="R44" i="52" s="1"/>
  <c r="T44" i="52" a="1"/>
  <c r="T44" i="52" s="1"/>
  <c r="G408" i="4" a="1"/>
  <c r="G408" i="4" s="1"/>
  <c r="I408" i="4" s="1"/>
  <c r="G262" i="4" a="1"/>
  <c r="G262" i="4" s="1"/>
  <c r="I262" i="4" s="1"/>
  <c r="Q34" i="47" a="1"/>
  <c r="Q34" i="47" s="1"/>
  <c r="Q14" i="47" a="1"/>
  <c r="Q14" i="47" s="1"/>
  <c r="I34" i="52" a="1"/>
  <c r="I34" i="52" s="1"/>
  <c r="G83" i="42" a="1"/>
  <c r="G83" i="42" s="1"/>
  <c r="L54" i="52" a="1"/>
  <c r="L54" i="52" s="1"/>
  <c r="F93" i="47" a="1"/>
  <c r="F93" i="47" s="1"/>
  <c r="G964" i="42" a="1"/>
  <c r="G964" i="42" s="1"/>
  <c r="I964" i="42" s="1"/>
  <c r="I14" i="52" a="1"/>
  <c r="I14" i="52" s="1"/>
  <c r="G326" i="5" a="1"/>
  <c r="G326" i="5" s="1"/>
  <c r="I326" i="5" s="1"/>
  <c r="D113" i="40" s="1"/>
  <c r="BI113" i="40" s="1"/>
  <c r="H44" i="52" a="1"/>
  <c r="H44" i="52" s="1"/>
  <c r="H44" i="47" a="1"/>
  <c r="H44" i="47" s="1"/>
  <c r="K70" i="52" a="1"/>
  <c r="K70" i="52" s="1"/>
  <c r="G630" i="42" a="1"/>
  <c r="G630" i="42" s="1"/>
  <c r="I630" i="42" s="1"/>
  <c r="P44" i="52" a="1"/>
  <c r="P44" i="52" s="1"/>
  <c r="G519" i="4" a="1"/>
  <c r="G519" i="4" s="1"/>
  <c r="I519" i="4" s="1"/>
  <c r="G93" i="47" a="1"/>
  <c r="G93" i="47" s="1"/>
  <c r="G334" i="4" a="1"/>
  <c r="G334" i="4" s="1"/>
  <c r="I334" i="4" s="1"/>
  <c r="N70" i="52" a="1"/>
  <c r="N70" i="52" s="1"/>
  <c r="N70" i="47" a="1"/>
  <c r="N70" i="47" s="1"/>
  <c r="G54" i="47" a="1"/>
  <c r="G54" i="47" s="1"/>
  <c r="C82" i="24" a="1"/>
  <c r="C82" i="24" s="1"/>
  <c r="C93" i="24" a="1"/>
  <c r="C93" i="24" s="1"/>
  <c r="G152" i="41" a="1"/>
  <c r="G152" i="41" s="1"/>
  <c r="I152" i="41" s="1"/>
  <c r="F69" i="40" s="1"/>
  <c r="O70" i="52" a="1"/>
  <c r="O70" i="52" s="1"/>
  <c r="J34" i="47" a="1"/>
  <c r="J34" i="47" s="1"/>
  <c r="G495" i="41" a="1"/>
  <c r="G495" i="41" s="1"/>
  <c r="I495" i="41" s="1"/>
  <c r="F159" i="40" s="1"/>
  <c r="G445" i="4" a="1"/>
  <c r="G445" i="4" s="1"/>
  <c r="I445" i="4" s="1"/>
  <c r="N34" i="47" a="1"/>
  <c r="N34" i="47" s="1"/>
  <c r="R93" i="52" a="1"/>
  <c r="R93" i="52" s="1"/>
  <c r="I14" i="47" a="1"/>
  <c r="I14" i="47" s="1"/>
  <c r="H54" i="47" a="1"/>
  <c r="H54" i="47" s="1"/>
  <c r="U14" i="48"/>
  <c r="G75" i="34" a="1"/>
  <c r="G75" i="34" s="1"/>
  <c r="I75" i="34" s="1"/>
  <c r="J42" i="40" s="1"/>
  <c r="D81" i="52" a="1"/>
  <c r="D81" i="52" s="1"/>
  <c r="K14" i="52" a="1"/>
  <c r="K14" i="52" s="1"/>
  <c r="D34" i="47" a="1"/>
  <c r="D34" i="47" s="1"/>
  <c r="G356" i="41" a="1"/>
  <c r="G356" i="41" s="1"/>
  <c r="I356" i="41" s="1"/>
  <c r="F122" i="40" s="1"/>
  <c r="S70" i="52" a="1"/>
  <c r="S70" i="52" s="1"/>
  <c r="V81" i="47" a="1"/>
  <c r="V81" i="47" s="1"/>
  <c r="W34" i="47" a="1"/>
  <c r="W34" i="47" s="1"/>
  <c r="D24" i="47" a="1"/>
  <c r="D24" i="47" s="1"/>
  <c r="M93" i="52" a="1"/>
  <c r="M93" i="52" s="1"/>
  <c r="I81" i="47" a="1"/>
  <c r="I81" i="47" s="1"/>
  <c r="L93" i="47" a="1"/>
  <c r="L93" i="47" s="1"/>
  <c r="U24" i="47" a="1"/>
  <c r="U24" i="47" s="1"/>
  <c r="G890" i="42" a="1"/>
  <c r="G890" i="42" s="1"/>
  <c r="I890" i="42" s="1"/>
  <c r="H81" i="52" a="1"/>
  <c r="H81" i="52" s="1"/>
  <c r="O14" i="52" a="1"/>
  <c r="O14" i="52" s="1"/>
  <c r="L34" i="47" a="1"/>
  <c r="L34" i="47" s="1"/>
  <c r="K14" i="47" a="1"/>
  <c r="K14" i="47" s="1"/>
  <c r="M34" i="47" a="1"/>
  <c r="M34" i="47" s="1"/>
  <c r="F54" i="52" a="1"/>
  <c r="F54" i="52" s="1"/>
  <c r="X54" i="52" s="1"/>
  <c r="S54" i="47" a="1"/>
  <c r="S54" i="47" s="1"/>
  <c r="G1001" i="4" a="1"/>
  <c r="G1001" i="4" s="1"/>
  <c r="I1001" i="4" s="1"/>
  <c r="N44" i="52" a="1"/>
  <c r="N44" i="52" s="1"/>
  <c r="H14" i="47" a="1"/>
  <c r="H14" i="47" s="1"/>
  <c r="U24" i="52" a="1"/>
  <c r="U24" i="52" s="1"/>
  <c r="S34" i="47" a="1"/>
  <c r="S34" i="47" s="1"/>
  <c r="N54" i="52" a="1"/>
  <c r="N54" i="52" s="1"/>
  <c r="J93" i="47" a="1"/>
  <c r="J93" i="47" s="1"/>
  <c r="L14" i="47" a="1"/>
  <c r="L14" i="47" s="1"/>
  <c r="G47" i="4" a="1"/>
  <c r="G47" i="4" s="1"/>
  <c r="I47" i="4" s="1"/>
  <c r="G34" i="52" a="1"/>
  <c r="G34" i="52" s="1"/>
  <c r="E81" i="47" a="1"/>
  <c r="E81" i="47" s="1"/>
  <c r="H93" i="47" a="1"/>
  <c r="H93" i="47" s="1"/>
  <c r="Q24" i="47" a="1"/>
  <c r="Q24" i="47" s="1"/>
  <c r="G927" i="42" a="1"/>
  <c r="G927" i="42" s="1"/>
  <c r="I927" i="42" s="1"/>
  <c r="T54" i="52" a="1"/>
  <c r="T54" i="52" s="1"/>
  <c r="S81" i="47" a="1"/>
  <c r="S81" i="47" s="1"/>
  <c r="V93" i="47" a="1"/>
  <c r="V93" i="47" s="1"/>
  <c r="G779" i="42" a="1"/>
  <c r="G779" i="42" s="1"/>
  <c r="I779" i="42" s="1"/>
  <c r="E14" i="52" a="1"/>
  <c r="E14" i="52" s="1"/>
  <c r="G83" i="4" a="1"/>
  <c r="G83" i="4" s="1"/>
  <c r="I83" i="4" s="1"/>
  <c r="L81" i="52" a="1"/>
  <c r="L81" i="52" s="1"/>
  <c r="M44" i="52" a="1"/>
  <c r="M44" i="52" s="1"/>
  <c r="M44" i="47" a="1"/>
  <c r="M44" i="47" s="1"/>
  <c r="G10" i="41" a="1"/>
  <c r="G10" i="41" s="1"/>
  <c r="I10" i="41" s="1"/>
  <c r="F42" i="40" s="1"/>
  <c r="J81" i="47" a="1"/>
  <c r="J81" i="47" s="1"/>
  <c r="V24" i="47" a="1"/>
  <c r="V24" i="47" s="1"/>
  <c r="M24" i="52" a="1"/>
  <c r="M24" i="52" s="1"/>
  <c r="W14" i="47" a="1"/>
  <c r="W14" i="47" s="1"/>
  <c r="I54" i="52" a="1"/>
  <c r="I54" i="52" s="1"/>
  <c r="V54" i="47" a="1"/>
  <c r="V54" i="47" s="1"/>
  <c r="G262" i="42" a="1"/>
  <c r="G262" i="42" s="1"/>
  <c r="I262" i="42" s="1"/>
  <c r="M14" i="52" a="1"/>
  <c r="M14" i="52" s="1"/>
  <c r="G221" i="5" a="1"/>
  <c r="G221" i="5" s="1"/>
  <c r="I221" i="5" s="1"/>
  <c r="D86" i="40" s="1"/>
  <c r="G927" i="4" a="1"/>
  <c r="G927" i="4" s="1"/>
  <c r="I927" i="4" s="1"/>
  <c r="N34" i="52" a="1"/>
  <c r="N34" i="52" s="1"/>
  <c r="G519" i="42" a="1"/>
  <c r="G519" i="42" s="1"/>
  <c r="I519" i="42" s="1"/>
  <c r="G387" i="5" a="1"/>
  <c r="G387" i="5" s="1"/>
  <c r="I387" i="5" s="1"/>
  <c r="R81" i="52" a="1"/>
  <c r="R81" i="52" s="1"/>
  <c r="Q34" i="52" a="1"/>
  <c r="Q34" i="52" s="1"/>
  <c r="T54" i="47" a="1"/>
  <c r="T54" i="47" s="1"/>
  <c r="G221" i="41" a="1"/>
  <c r="G221" i="41" s="1"/>
  <c r="I221" i="41" s="1"/>
  <c r="F86" i="40" s="1"/>
  <c r="Q24" i="52" a="1"/>
  <c r="Q24" i="52" s="1"/>
  <c r="K34" i="47" a="1"/>
  <c r="K34" i="47" s="1"/>
  <c r="P24" i="52" a="1"/>
  <c r="P24" i="52" s="1"/>
  <c r="J54" i="47" a="1"/>
  <c r="J54" i="47" s="1"/>
  <c r="G668" i="42" a="1"/>
  <c r="G668" i="42" s="1"/>
  <c r="I668" i="42" s="1"/>
  <c r="H93" i="52" a="1"/>
  <c r="H93" i="52" s="1"/>
  <c r="O24" i="52" a="1"/>
  <c r="O24" i="52" s="1"/>
  <c r="R14" i="52" a="1"/>
  <c r="R14" i="52" s="1"/>
  <c r="G254" i="5" a="1"/>
  <c r="G254" i="5" s="1"/>
  <c r="I254" i="5" s="1"/>
  <c r="D95" i="40" s="1"/>
  <c r="G119" i="4" a="1"/>
  <c r="G119" i="4" s="1"/>
  <c r="I119" i="4" s="1"/>
  <c r="F81" i="52" a="1"/>
  <c r="F81" i="52" s="1"/>
  <c r="X81" i="52" s="1"/>
  <c r="Q54" i="47" a="1"/>
  <c r="Q54" i="47" s="1"/>
  <c r="J44" i="47" a="1"/>
  <c r="J44" i="47" s="1"/>
  <c r="G1038" i="4" a="1"/>
  <c r="G1038" i="4" s="1"/>
  <c r="I1038" i="4" s="1"/>
  <c r="U70" i="52" a="1"/>
  <c r="U70" i="52" s="1"/>
  <c r="P81" i="47" a="1"/>
  <c r="P81" i="47" s="1"/>
  <c r="M70" i="47" a="1"/>
  <c r="M70" i="47" s="1"/>
  <c r="F14" i="47" a="1"/>
  <c r="F14" i="47" s="1"/>
  <c r="J93" i="52" a="1"/>
  <c r="J93" i="52" s="1"/>
  <c r="S24" i="52" a="1"/>
  <c r="S24" i="52" s="1"/>
  <c r="V14" i="52" a="1"/>
  <c r="V14" i="52" s="1"/>
  <c r="H24" i="52" a="1"/>
  <c r="H24" i="52" s="1"/>
  <c r="F34" i="47" a="1"/>
  <c r="F34" i="47" s="1"/>
  <c r="R14" i="47" a="1"/>
  <c r="R14" i="47" s="1"/>
  <c r="G298" i="42" a="1"/>
  <c r="G298" i="42" s="1"/>
  <c r="I298" i="42" s="1"/>
  <c r="S81" i="52" a="1"/>
  <c r="S81" i="52" s="1"/>
  <c r="V24" i="52" a="1"/>
  <c r="V24" i="52" s="1"/>
  <c r="G34" i="47" a="1"/>
  <c r="G34" i="47" s="1"/>
  <c r="C126" i="24" a="1"/>
  <c r="C126" i="24" s="1"/>
  <c r="I93" i="52" a="1"/>
  <c r="I93" i="52" s="1"/>
  <c r="U34" i="52" a="1"/>
  <c r="U34" i="52" s="1"/>
  <c r="D93" i="47" a="1"/>
  <c r="D93" i="47" s="1"/>
  <c r="M24" i="47" a="1"/>
  <c r="M24" i="47" s="1"/>
  <c r="G1001" i="42" a="1"/>
  <c r="G1001" i="42" s="1"/>
  <c r="I1001" i="42" s="1"/>
  <c r="T70" i="52" a="1"/>
  <c r="T70" i="52" s="1"/>
  <c r="G14" i="52" a="1"/>
  <c r="G14" i="52" s="1"/>
  <c r="T70" i="47" a="1"/>
  <c r="T70" i="47" s="1"/>
  <c r="G408" i="42" a="1"/>
  <c r="G408" i="42" s="1"/>
  <c r="I408" i="42" s="1"/>
  <c r="W81" i="52" a="1"/>
  <c r="W81" i="52" s="1"/>
  <c r="F44" i="52" a="1"/>
  <c r="F44" i="52" s="1"/>
  <c r="D54" i="52" a="1"/>
  <c r="D54" i="52" s="1"/>
  <c r="P54" i="52" a="1"/>
  <c r="P54" i="52" s="1"/>
  <c r="N93" i="47" a="1"/>
  <c r="N93" i="47" s="1"/>
  <c r="G334" i="42" a="1"/>
  <c r="G334" i="42" s="1"/>
  <c r="I334" i="42" s="1"/>
  <c r="E24" i="52" a="1"/>
  <c r="E24" i="52" s="1"/>
  <c r="O14" i="47" a="1"/>
  <c r="O14" i="47" s="1"/>
  <c r="G28" i="34" a="1"/>
  <c r="G28" i="34" s="1"/>
  <c r="N54" i="47" a="1"/>
  <c r="N54" i="47" s="1"/>
  <c r="G593" i="4" a="1"/>
  <c r="G593" i="4" s="1"/>
  <c r="I593" i="4" s="1"/>
  <c r="R34" i="47" a="1"/>
  <c r="R34" i="47" s="1"/>
  <c r="G119" i="42" a="1"/>
  <c r="G119" i="42" s="1"/>
  <c r="I119" i="42" s="1"/>
  <c r="E54" i="52" a="1"/>
  <c r="E54" i="52" s="1"/>
  <c r="R54" i="47" a="1"/>
  <c r="R54" i="47" s="1"/>
  <c r="D14" i="47" a="1"/>
  <c r="D14" i="47" s="1"/>
  <c r="W44" i="47" a="1"/>
  <c r="W44" i="47" s="1"/>
  <c r="P70" i="52" a="1"/>
  <c r="P70" i="52" s="1"/>
  <c r="W93" i="47" a="1"/>
  <c r="W93" i="47" s="1"/>
  <c r="P70" i="47" a="1"/>
  <c r="P70" i="47" s="1"/>
  <c r="G190" i="5" a="1"/>
  <c r="G190" i="5" s="1"/>
  <c r="I190" i="5" s="1"/>
  <c r="D78" i="40" s="1"/>
  <c r="G495" i="5" a="1"/>
  <c r="G495" i="5" s="1"/>
  <c r="I495" i="5" s="1"/>
  <c r="D159" i="40" s="1"/>
  <c r="BI159" i="40" s="1"/>
  <c r="J81" i="52" a="1"/>
  <c r="J81" i="52" s="1"/>
  <c r="D44" i="52" a="1"/>
  <c r="D44" i="52" s="1"/>
  <c r="X44" i="52" s="1"/>
  <c r="D44" i="47" a="1"/>
  <c r="D44" i="47" s="1"/>
  <c r="K44" i="52" a="1"/>
  <c r="K44" i="52" s="1"/>
  <c r="K24" i="47" a="1"/>
  <c r="K24" i="47" s="1"/>
  <c r="T44" i="47" a="1"/>
  <c r="T44" i="47" s="1"/>
  <c r="U93" i="47" a="1"/>
  <c r="U93" i="47" s="1"/>
  <c r="T24" i="52" a="1"/>
  <c r="T24" i="52" s="1"/>
  <c r="W44" i="52" a="1"/>
  <c r="W44" i="52" s="1"/>
  <c r="E93" i="52" a="1"/>
  <c r="E93" i="52" s="1"/>
  <c r="L54" i="47" a="1"/>
  <c r="L54" i="47" s="1"/>
  <c r="G152" i="5" a="1"/>
  <c r="G152" i="5" s="1"/>
  <c r="I152" i="5" s="1"/>
  <c r="D69" i="40" s="1"/>
  <c r="BI69" i="40" s="1"/>
  <c r="W34" i="52" a="1"/>
  <c r="W34" i="52" s="1"/>
  <c r="O24" i="47" a="1"/>
  <c r="O24" i="47" s="1"/>
  <c r="M54" i="52" a="1"/>
  <c r="M54" i="52" s="1"/>
  <c r="V70" i="47" a="1"/>
  <c r="V70" i="47" s="1"/>
  <c r="G191" i="4" a="1"/>
  <c r="G191" i="4" s="1"/>
  <c r="O54" i="47" a="1"/>
  <c r="O54" i="47" s="1"/>
  <c r="G84" i="41" a="1"/>
  <c r="G84" i="41" s="1"/>
  <c r="N81" i="47" a="1"/>
  <c r="N81" i="47" s="1"/>
  <c r="R34" i="52" a="1"/>
  <c r="R34" i="52" s="1"/>
  <c r="G705" i="42" a="1"/>
  <c r="G705" i="42" s="1"/>
  <c r="I705" i="42" s="1"/>
  <c r="E34" i="52" a="1"/>
  <c r="E34" i="52" s="1"/>
  <c r="X34" i="52" s="1"/>
  <c r="G482" i="42" a="1"/>
  <c r="G482" i="42" s="1"/>
  <c r="I482" i="42" s="1"/>
  <c r="I81" i="52" a="1"/>
  <c r="I81" i="52" s="1"/>
  <c r="V93" i="52" a="1"/>
  <c r="V93" i="52" s="1"/>
  <c r="F81" i="47" a="1"/>
  <c r="F81" i="47" s="1"/>
  <c r="R81" i="47" a="1"/>
  <c r="R81" i="47" s="1"/>
  <c r="T14" i="47" a="1"/>
  <c r="T14" i="47" s="1"/>
  <c r="L24" i="52" a="1"/>
  <c r="L24" i="52" s="1"/>
  <c r="V14" i="47" a="1"/>
  <c r="V14" i="47" s="1"/>
  <c r="O44" i="52" a="1"/>
  <c r="O44" i="52" s="1"/>
  <c r="U54" i="52" a="1"/>
  <c r="U54" i="52" s="1"/>
  <c r="G356" i="5" a="1"/>
  <c r="G356" i="5" s="1"/>
  <c r="I356" i="5" s="1"/>
  <c r="D122" i="40" s="1"/>
  <c r="S198" i="48"/>
  <c r="T198" i="48"/>
  <c r="U198" i="48"/>
  <c r="S172" i="48"/>
  <c r="U172" i="48"/>
  <c r="T172" i="48"/>
  <c r="T155" i="48"/>
  <c r="AA155" i="48" s="1"/>
  <c r="AB155" i="48" s="1"/>
  <c r="S155" i="48"/>
  <c r="U155" i="48"/>
  <c r="S111" i="48"/>
  <c r="U111" i="48"/>
  <c r="T111" i="48"/>
  <c r="T94" i="48"/>
  <c r="U94" i="48"/>
  <c r="S94" i="48"/>
  <c r="S74" i="48"/>
  <c r="T74" i="48"/>
  <c r="U74" i="48"/>
  <c r="S66" i="48"/>
  <c r="T66" i="48"/>
  <c r="U66" i="48"/>
  <c r="S58" i="48"/>
  <c r="U58" i="48"/>
  <c r="T58" i="48"/>
  <c r="T35" i="48"/>
  <c r="S35" i="48"/>
  <c r="U35" i="48"/>
  <c r="D14" i="40"/>
  <c r="B15" i="29"/>
  <c r="U102" i="48"/>
  <c r="S102" i="48"/>
  <c r="T102" i="48"/>
  <c r="T86" i="48"/>
  <c r="U86" i="48"/>
  <c r="S86" i="48"/>
  <c r="S70" i="48"/>
  <c r="T70" i="48"/>
  <c r="U70" i="48"/>
  <c r="S62" i="48"/>
  <c r="U62" i="48"/>
  <c r="T62" i="48"/>
  <c r="D23" i="40"/>
  <c r="B20" i="29"/>
  <c r="D16" i="40"/>
  <c r="B16" i="29"/>
  <c r="F562" i="5"/>
  <c r="S31" i="48"/>
  <c r="AA31" i="48" s="1"/>
  <c r="AB31" i="48" s="1"/>
  <c r="T20" i="48"/>
  <c r="AA50" i="48"/>
  <c r="AB50" i="48" s="1"/>
  <c r="AA83" i="48"/>
  <c r="AB83" i="48" s="1"/>
  <c r="AA90" i="48"/>
  <c r="AB90" i="48" s="1"/>
  <c r="D27" i="40"/>
  <c r="B19" i="29"/>
  <c r="I45" i="3"/>
  <c r="D1074" i="4"/>
  <c r="D529" i="5" s="1"/>
  <c r="D540" i="5" s="1"/>
  <c r="D552" i="5" s="1"/>
  <c r="D558" i="5" s="1"/>
  <c r="D562" i="5" s="1"/>
  <c r="D190" i="40"/>
  <c r="B27" i="30"/>
  <c r="C76" i="24"/>
  <c r="D144" i="40"/>
  <c r="D141" i="40"/>
  <c r="BI141" i="40" s="1"/>
  <c r="D125" i="40"/>
  <c r="D115" i="40"/>
  <c r="D106" i="40"/>
  <c r="D100" i="40"/>
  <c r="D91" i="40"/>
  <c r="D88" i="40"/>
  <c r="D83" i="40"/>
  <c r="D82" i="40"/>
  <c r="D81" i="40"/>
  <c r="D80" i="40"/>
  <c r="D74" i="40"/>
  <c r="D73" i="40"/>
  <c r="D72" i="40"/>
  <c r="BI72" i="40" s="1"/>
  <c r="D65" i="40"/>
  <c r="D64" i="40"/>
  <c r="D63" i="40"/>
  <c r="D62" i="40"/>
  <c r="D56" i="40"/>
  <c r="D55" i="40"/>
  <c r="D54" i="40"/>
  <c r="D53" i="40"/>
  <c r="C19" i="29"/>
  <c r="F27" i="40"/>
  <c r="F16" i="40"/>
  <c r="C16" i="29"/>
  <c r="C12" i="29"/>
  <c r="N12" i="29" s="1"/>
  <c r="I45" i="43"/>
  <c r="F7" i="40"/>
  <c r="C7" i="29"/>
  <c r="F184" i="40"/>
  <c r="F186" i="40" s="1"/>
  <c r="C25" i="30"/>
  <c r="N25" i="30" s="1"/>
  <c r="B13" i="28" s="1"/>
  <c r="F164" i="40"/>
  <c r="F163" i="40"/>
  <c r="F161" i="40"/>
  <c r="F153" i="40"/>
  <c r="F152" i="40"/>
  <c r="F150" i="40"/>
  <c r="F144" i="40"/>
  <c r="F527" i="41"/>
  <c r="F529" i="41" s="1"/>
  <c r="F540" i="41" s="1"/>
  <c r="F550" i="41" s="1"/>
  <c r="F556" i="41" s="1"/>
  <c r="F560" i="41" s="1"/>
  <c r="I49" i="9"/>
  <c r="G54" i="9"/>
  <c r="I52" i="9"/>
  <c r="H54" i="9"/>
  <c r="G8" i="30"/>
  <c r="G11" i="30" s="1"/>
  <c r="D25" i="40"/>
  <c r="C45" i="24"/>
  <c r="B18" i="29"/>
  <c r="D12" i="40"/>
  <c r="B14" i="29"/>
  <c r="D7" i="40"/>
  <c r="B7" i="29"/>
  <c r="N7" i="29" s="1"/>
  <c r="B7" i="28" s="1"/>
  <c r="D38" i="40"/>
  <c r="D44" i="22"/>
  <c r="D184" i="40"/>
  <c r="B25" i="30"/>
  <c r="D164" i="40"/>
  <c r="D163" i="40"/>
  <c r="D161" i="40"/>
  <c r="D153" i="40"/>
  <c r="BI153" i="40" s="1"/>
  <c r="D152" i="40"/>
  <c r="BI152" i="40" s="1"/>
  <c r="D150" i="40"/>
  <c r="BI150" i="40" s="1"/>
  <c r="D143" i="40"/>
  <c r="D135" i="40"/>
  <c r="D134" i="40"/>
  <c r="D133" i="40"/>
  <c r="D132" i="40"/>
  <c r="D127" i="40"/>
  <c r="D126" i="40"/>
  <c r="D124" i="40"/>
  <c r="D118" i="40"/>
  <c r="D117" i="40"/>
  <c r="D109" i="40"/>
  <c r="D108" i="40"/>
  <c r="D99" i="40"/>
  <c r="D97" i="40"/>
  <c r="D90" i="40"/>
  <c r="D71" i="40"/>
  <c r="D47" i="40"/>
  <c r="D46" i="40"/>
  <c r="D44" i="40"/>
  <c r="I537" i="41"/>
  <c r="F173" i="40" s="1"/>
  <c r="F174" i="40" s="1"/>
  <c r="F25" i="40"/>
  <c r="C18" i="29"/>
  <c r="C46" i="24"/>
  <c r="C70" i="24" s="1"/>
  <c r="C71" i="24" s="1"/>
  <c r="I74" i="43"/>
  <c r="F12" i="40"/>
  <c r="C14" i="29"/>
  <c r="D560" i="41"/>
  <c r="H1074" i="42"/>
  <c r="H529" i="41" s="1"/>
  <c r="H540" i="41" s="1"/>
  <c r="H550" i="41" s="1"/>
  <c r="H556" i="41" s="1"/>
  <c r="B1111" i="42"/>
  <c r="B1109" i="42"/>
  <c r="F38" i="40" s="1"/>
  <c r="B1107" i="42"/>
  <c r="F37" i="40" s="1"/>
  <c r="B1103" i="42"/>
  <c r="B1101" i="42"/>
  <c r="B1099" i="42"/>
  <c r="B1097" i="42"/>
  <c r="B1095" i="42"/>
  <c r="B1093" i="42"/>
  <c r="B1091" i="42"/>
  <c r="B1089" i="42"/>
  <c r="B1087" i="42"/>
  <c r="B1085" i="42"/>
  <c r="B1083" i="42"/>
  <c r="B1081" i="42"/>
  <c r="F35" i="40" s="1"/>
  <c r="F190" i="40"/>
  <c r="C27" i="30"/>
  <c r="B15" i="27"/>
  <c r="I84" i="6"/>
  <c r="F72" i="8"/>
  <c r="F141" i="40"/>
  <c r="F135" i="40"/>
  <c r="F134" i="40"/>
  <c r="F133" i="40"/>
  <c r="F132" i="40"/>
  <c r="F127" i="40"/>
  <c r="F126" i="40"/>
  <c r="F124" i="40"/>
  <c r="F115" i="40"/>
  <c r="F109" i="40"/>
  <c r="F108" i="40"/>
  <c r="F99" i="40"/>
  <c r="F97" i="40"/>
  <c r="F90" i="40"/>
  <c r="F74" i="40"/>
  <c r="F73" i="40"/>
  <c r="F47" i="40"/>
  <c r="F46" i="40"/>
  <c r="F44" i="40"/>
  <c r="H106" i="40"/>
  <c r="H110" i="40" s="1"/>
  <c r="H88" i="40"/>
  <c r="H92" i="40" s="1"/>
  <c r="H23" i="40"/>
  <c r="D20" i="29"/>
  <c r="H14" i="40"/>
  <c r="D11" i="29"/>
  <c r="H7" i="40"/>
  <c r="D7" i="29"/>
  <c r="J173" i="40"/>
  <c r="J174" i="40" s="1"/>
  <c r="E21" i="30"/>
  <c r="J46" i="40"/>
  <c r="J44" i="40"/>
  <c r="J38" i="40"/>
  <c r="J37" i="40"/>
  <c r="J35" i="40"/>
  <c r="J23" i="40"/>
  <c r="E20" i="29"/>
  <c r="J16" i="40"/>
  <c r="E16" i="29"/>
  <c r="J12" i="40"/>
  <c r="E14" i="29"/>
  <c r="J7" i="40"/>
  <c r="E7" i="29"/>
  <c r="C149" i="53"/>
  <c r="C148" i="53"/>
  <c r="C147" i="53"/>
  <c r="C146" i="53"/>
  <c r="C145" i="53"/>
  <c r="C144" i="53"/>
  <c r="C143" i="53"/>
  <c r="C142" i="53"/>
  <c r="C141" i="53"/>
  <c r="C140" i="53"/>
  <c r="H134" i="53"/>
  <c r="J134" i="53" s="1"/>
  <c r="A134" i="53"/>
  <c r="C133" i="53"/>
  <c r="H132" i="53"/>
  <c r="J132" i="53" s="1"/>
  <c r="A132" i="53"/>
  <c r="C131" i="53"/>
  <c r="H130" i="53"/>
  <c r="J130" i="53" s="1"/>
  <c r="A130" i="53"/>
  <c r="C129" i="53"/>
  <c r="H128" i="53"/>
  <c r="J128" i="53" s="1"/>
  <c r="A128" i="53"/>
  <c r="C127" i="53"/>
  <c r="H126" i="53"/>
  <c r="J126" i="53" s="1"/>
  <c r="A126" i="53"/>
  <c r="C125" i="53"/>
  <c r="H124" i="53"/>
  <c r="J124" i="53" s="1"/>
  <c r="A124" i="53"/>
  <c r="C123" i="53"/>
  <c r="H122" i="53"/>
  <c r="J122" i="53" s="1"/>
  <c r="A122" i="53"/>
  <c r="C121" i="53"/>
  <c r="H120" i="53"/>
  <c r="J120" i="53" s="1"/>
  <c r="A120" i="53"/>
  <c r="C119" i="53"/>
  <c r="H118" i="53"/>
  <c r="J118" i="53" s="1"/>
  <c r="A118" i="53"/>
  <c r="C117" i="53"/>
  <c r="H116" i="53"/>
  <c r="J116" i="53" s="1"/>
  <c r="A116" i="53"/>
  <c r="C115" i="53"/>
  <c r="H108" i="53"/>
  <c r="J108" i="53" s="1"/>
  <c r="A108" i="53"/>
  <c r="C107" i="53"/>
  <c r="H106" i="53"/>
  <c r="J106" i="53" s="1"/>
  <c r="A106" i="53"/>
  <c r="C105" i="53"/>
  <c r="H104" i="53"/>
  <c r="J104" i="53" s="1"/>
  <c r="A104" i="53"/>
  <c r="C103" i="53"/>
  <c r="H102" i="53"/>
  <c r="J102" i="53" s="1"/>
  <c r="A102" i="53"/>
  <c r="C101" i="53"/>
  <c r="H100" i="53"/>
  <c r="J100" i="53" s="1"/>
  <c r="A100" i="53"/>
  <c r="C99" i="53"/>
  <c r="H98" i="53"/>
  <c r="J98" i="53" s="1"/>
  <c r="A98" i="53"/>
  <c r="C97" i="53"/>
  <c r="L27" i="40"/>
  <c r="H63" i="53"/>
  <c r="J63" i="53" s="1"/>
  <c r="A63" i="53"/>
  <c r="C62" i="53"/>
  <c r="H61" i="53"/>
  <c r="J61" i="53" s="1"/>
  <c r="A61" i="53"/>
  <c r="C60" i="53"/>
  <c r="H59" i="53"/>
  <c r="J59" i="53" s="1"/>
  <c r="A59" i="53"/>
  <c r="C58" i="53"/>
  <c r="H57" i="53"/>
  <c r="J57" i="53" s="1"/>
  <c r="A57" i="53"/>
  <c r="C56" i="53"/>
  <c r="H55" i="53"/>
  <c r="J55" i="53" s="1"/>
  <c r="A55" i="53"/>
  <c r="C54" i="53"/>
  <c r="H48" i="53"/>
  <c r="J48" i="53" s="1"/>
  <c r="A48" i="53"/>
  <c r="C47" i="53"/>
  <c r="H46" i="53"/>
  <c r="J46" i="53" s="1"/>
  <c r="A46" i="53"/>
  <c r="C45" i="53"/>
  <c r="H44" i="53"/>
  <c r="J44" i="53" s="1"/>
  <c r="A44" i="53"/>
  <c r="C43" i="53"/>
  <c r="H42" i="53"/>
  <c r="J42" i="53" s="1"/>
  <c r="A42" i="53"/>
  <c r="C41" i="53"/>
  <c r="H40" i="53"/>
  <c r="J40" i="53" s="1"/>
  <c r="A40" i="53"/>
  <c r="C39" i="53"/>
  <c r="H38" i="53"/>
  <c r="J38" i="53" s="1"/>
  <c r="A38" i="53"/>
  <c r="C37" i="53"/>
  <c r="H36" i="53"/>
  <c r="J36" i="53" s="1"/>
  <c r="A36" i="53"/>
  <c r="C35" i="53"/>
  <c r="H34" i="53"/>
  <c r="J34" i="53" s="1"/>
  <c r="A34" i="53"/>
  <c r="C33" i="53"/>
  <c r="H32" i="53"/>
  <c r="J32" i="53" s="1"/>
  <c r="A32" i="53"/>
  <c r="C31" i="53"/>
  <c r="H30" i="53"/>
  <c r="J30" i="53" s="1"/>
  <c r="A30" i="53"/>
  <c r="C29" i="53"/>
  <c r="H21" i="53"/>
  <c r="J21" i="53" s="1"/>
  <c r="A21" i="53"/>
  <c r="C20" i="53"/>
  <c r="H19" i="53"/>
  <c r="J19" i="53" s="1"/>
  <c r="A19" i="53"/>
  <c r="C18" i="53"/>
  <c r="H17" i="53"/>
  <c r="J17" i="53" s="1"/>
  <c r="A17" i="53"/>
  <c r="C16" i="53"/>
  <c r="H15" i="53"/>
  <c r="J15" i="53" s="1"/>
  <c r="A15" i="53"/>
  <c r="C14" i="53"/>
  <c r="H13" i="53"/>
  <c r="J13" i="53" s="1"/>
  <c r="A13" i="53"/>
  <c r="C12" i="53"/>
  <c r="H11" i="53"/>
  <c r="J11" i="53" s="1"/>
  <c r="A11" i="53"/>
  <c r="C10" i="53"/>
  <c r="L7" i="40"/>
  <c r="F7" i="29"/>
  <c r="I69" i="6"/>
  <c r="G20" i="30" s="1"/>
  <c r="N20" i="30" s="1"/>
  <c r="I61" i="6"/>
  <c r="G12" i="30" s="1"/>
  <c r="G18" i="30" s="1"/>
  <c r="N46" i="40"/>
  <c r="N37" i="40"/>
  <c r="N39" i="40" s="1"/>
  <c r="N23" i="40"/>
  <c r="G20" i="29"/>
  <c r="N27" i="40"/>
  <c r="G19" i="29"/>
  <c r="N16" i="40"/>
  <c r="G16" i="29"/>
  <c r="N14" i="40"/>
  <c r="G11" i="29"/>
  <c r="N10" i="40"/>
  <c r="G13" i="29"/>
  <c r="D48" i="22"/>
  <c r="P184" i="40"/>
  <c r="P186" i="40" s="1"/>
  <c r="H25" i="30"/>
  <c r="A149" i="7"/>
  <c r="A148" i="7"/>
  <c r="A147" i="7"/>
  <c r="A146" i="7"/>
  <c r="A145" i="7"/>
  <c r="A144" i="7"/>
  <c r="A143" i="7"/>
  <c r="A142" i="7"/>
  <c r="A141" i="7"/>
  <c r="A140" i="7"/>
  <c r="C134" i="7"/>
  <c r="H133" i="7"/>
  <c r="J133" i="7" s="1"/>
  <c r="A133" i="7"/>
  <c r="C132" i="7"/>
  <c r="H131" i="7"/>
  <c r="J131" i="7" s="1"/>
  <c r="A131" i="7"/>
  <c r="C130" i="7"/>
  <c r="H129" i="7"/>
  <c r="J129" i="7" s="1"/>
  <c r="A129" i="7"/>
  <c r="C128" i="7"/>
  <c r="H127" i="7"/>
  <c r="J127" i="7" s="1"/>
  <c r="A127" i="7"/>
  <c r="C126" i="7"/>
  <c r="H125" i="7"/>
  <c r="J125" i="7" s="1"/>
  <c r="A125" i="7"/>
  <c r="C124" i="7"/>
  <c r="H123" i="7"/>
  <c r="J123" i="7" s="1"/>
  <c r="A123" i="7"/>
  <c r="C122" i="7"/>
  <c r="H121" i="7"/>
  <c r="J121" i="7" s="1"/>
  <c r="A121" i="7"/>
  <c r="C120" i="7"/>
  <c r="H119" i="7"/>
  <c r="J119" i="7" s="1"/>
  <c r="A119" i="7"/>
  <c r="C118" i="7"/>
  <c r="H117" i="7"/>
  <c r="J117" i="7" s="1"/>
  <c r="A117" i="7"/>
  <c r="C116" i="7"/>
  <c r="H115" i="7"/>
  <c r="A115" i="7"/>
  <c r="C108" i="7"/>
  <c r="H107" i="7"/>
  <c r="J107" i="7" s="1"/>
  <c r="A107" i="7"/>
  <c r="C106" i="7"/>
  <c r="H105" i="7"/>
  <c r="J105" i="7" s="1"/>
  <c r="A105" i="7"/>
  <c r="C104" i="7"/>
  <c r="H103" i="7"/>
  <c r="J103" i="7" s="1"/>
  <c r="A103" i="7"/>
  <c r="C102" i="7"/>
  <c r="H101" i="7"/>
  <c r="J101" i="7" s="1"/>
  <c r="A101" i="7"/>
  <c r="C100" i="7"/>
  <c r="H99" i="7"/>
  <c r="J99" i="7" s="1"/>
  <c r="A99" i="7"/>
  <c r="C98" i="7"/>
  <c r="H97" i="7"/>
  <c r="A97" i="7"/>
  <c r="P25" i="40"/>
  <c r="C51" i="24"/>
  <c r="H18" i="29"/>
  <c r="C63" i="7"/>
  <c r="H62" i="7"/>
  <c r="J62" i="7" s="1"/>
  <c r="A62" i="7"/>
  <c r="C61" i="7"/>
  <c r="H60" i="7"/>
  <c r="J60" i="7" s="1"/>
  <c r="A60" i="7"/>
  <c r="C59" i="7"/>
  <c r="H58" i="7"/>
  <c r="J58" i="7" s="1"/>
  <c r="A58" i="7"/>
  <c r="C57" i="7"/>
  <c r="H56" i="7"/>
  <c r="J56" i="7" s="1"/>
  <c r="A56" i="7"/>
  <c r="C55" i="7"/>
  <c r="C54" i="7"/>
  <c r="H48" i="7"/>
  <c r="J48" i="7" s="1"/>
  <c r="A48" i="7"/>
  <c r="C47" i="7"/>
  <c r="H46" i="7"/>
  <c r="J46" i="7" s="1"/>
  <c r="A46" i="7"/>
  <c r="C45" i="7"/>
  <c r="H44" i="7"/>
  <c r="J44" i="7" s="1"/>
  <c r="A44" i="7"/>
  <c r="C43" i="7"/>
  <c r="H42" i="7"/>
  <c r="J42" i="7" s="1"/>
  <c r="A42" i="7"/>
  <c r="C41" i="7"/>
  <c r="H40" i="7"/>
  <c r="J40" i="7" s="1"/>
  <c r="A40" i="7"/>
  <c r="C39" i="7"/>
  <c r="H38" i="7"/>
  <c r="J38" i="7" s="1"/>
  <c r="A38" i="7"/>
  <c r="C37" i="7"/>
  <c r="H36" i="7"/>
  <c r="J36" i="7" s="1"/>
  <c r="A36" i="7"/>
  <c r="C35" i="7"/>
  <c r="H34" i="7"/>
  <c r="J34" i="7" s="1"/>
  <c r="A34" i="7"/>
  <c r="C33" i="7"/>
  <c r="H32" i="7"/>
  <c r="J32" i="7" s="1"/>
  <c r="A32" i="7"/>
  <c r="C31" i="7"/>
  <c r="H30" i="7"/>
  <c r="J30" i="7" s="1"/>
  <c r="A30" i="7"/>
  <c r="C29" i="7"/>
  <c r="H21" i="7"/>
  <c r="J21" i="7" s="1"/>
  <c r="A21" i="7"/>
  <c r="C20" i="7"/>
  <c r="H19" i="7"/>
  <c r="J19" i="7" s="1"/>
  <c r="A19" i="7"/>
  <c r="C18" i="7"/>
  <c r="H17" i="7"/>
  <c r="J17" i="7" s="1"/>
  <c r="A17" i="7"/>
  <c r="C16" i="7"/>
  <c r="H15" i="7"/>
  <c r="J15" i="7" s="1"/>
  <c r="A15" i="7"/>
  <c r="C14" i="7"/>
  <c r="H13" i="7"/>
  <c r="J13" i="7" s="1"/>
  <c r="A13" i="7"/>
  <c r="C12" i="7"/>
  <c r="H11" i="7"/>
  <c r="J11" i="7" s="1"/>
  <c r="A11" i="7"/>
  <c r="C10" i="7"/>
  <c r="P7" i="40"/>
  <c r="H7" i="29"/>
  <c r="T25" i="40"/>
  <c r="C53" i="24"/>
  <c r="I20" i="54"/>
  <c r="I22" i="54" s="1"/>
  <c r="G52" i="10"/>
  <c r="V27" i="40"/>
  <c r="J19" i="29"/>
  <c r="V14" i="40"/>
  <c r="J15" i="29"/>
  <c r="V10" i="40"/>
  <c r="V18" i="40" s="1"/>
  <c r="V21" i="40" s="1"/>
  <c r="V29" i="40" s="1"/>
  <c r="X186" i="40"/>
  <c r="X34" i="40"/>
  <c r="I36" i="11"/>
  <c r="X25" i="40"/>
  <c r="C55" i="24"/>
  <c r="X10" i="40"/>
  <c r="J13" i="29"/>
  <c r="I16" i="11"/>
  <c r="I18" i="11" s="1"/>
  <c r="AD173" i="40"/>
  <c r="AD174" i="40" s="1"/>
  <c r="AD27" i="40"/>
  <c r="AF10" i="40"/>
  <c r="B23" i="27"/>
  <c r="I56" i="13"/>
  <c r="AF27" i="40"/>
  <c r="D16" i="31"/>
  <c r="AF14" i="40"/>
  <c r="D12" i="31"/>
  <c r="H12" i="31" s="1"/>
  <c r="E26" i="32"/>
  <c r="I40" i="14"/>
  <c r="N10" i="29"/>
  <c r="F143" i="40"/>
  <c r="F142" i="40"/>
  <c r="BI142" i="40" s="1"/>
  <c r="F125" i="40"/>
  <c r="F118" i="40"/>
  <c r="F117" i="40"/>
  <c r="F116" i="40"/>
  <c r="BI116" i="40" s="1"/>
  <c r="F106" i="40"/>
  <c r="F100" i="40"/>
  <c r="F91" i="40"/>
  <c r="F88" i="40"/>
  <c r="F83" i="40"/>
  <c r="F82" i="40"/>
  <c r="F81" i="40"/>
  <c r="F80" i="40"/>
  <c r="F71" i="40"/>
  <c r="F65" i="40"/>
  <c r="F64" i="40"/>
  <c r="F63" i="40"/>
  <c r="F62" i="40"/>
  <c r="F56" i="40"/>
  <c r="F55" i="40"/>
  <c r="F54" i="40"/>
  <c r="F53" i="40"/>
  <c r="D45" i="22"/>
  <c r="H184" i="40"/>
  <c r="H186" i="40" s="1"/>
  <c r="D25" i="30"/>
  <c r="I39" i="9"/>
  <c r="D21" i="30" s="1"/>
  <c r="D22" i="30" s="1"/>
  <c r="D24" i="30" s="1"/>
  <c r="H27" i="40"/>
  <c r="D19" i="29"/>
  <c r="H25" i="40"/>
  <c r="C47" i="24"/>
  <c r="D18" i="29"/>
  <c r="H10" i="40"/>
  <c r="D13" i="29"/>
  <c r="J184" i="40"/>
  <c r="J186" i="40" s="1"/>
  <c r="E25" i="30"/>
  <c r="D46" i="22"/>
  <c r="J47" i="40"/>
  <c r="J27" i="40"/>
  <c r="E19" i="29"/>
  <c r="J25" i="40"/>
  <c r="E18" i="29"/>
  <c r="C48" i="24"/>
  <c r="J14" i="40"/>
  <c r="E15" i="29"/>
  <c r="J10" i="40"/>
  <c r="E13" i="29"/>
  <c r="L184" i="40"/>
  <c r="L186" i="40" s="1"/>
  <c r="F25" i="30"/>
  <c r="A149" i="53"/>
  <c r="A148" i="53"/>
  <c r="A147" i="53"/>
  <c r="A146" i="53"/>
  <c r="A145" i="53"/>
  <c r="A144" i="53"/>
  <c r="A143" i="53"/>
  <c r="A142" i="53"/>
  <c r="A141" i="53"/>
  <c r="A140" i="53"/>
  <c r="C134" i="53"/>
  <c r="H133" i="53"/>
  <c r="J133" i="53" s="1"/>
  <c r="A133" i="53"/>
  <c r="C132" i="53"/>
  <c r="H131" i="53"/>
  <c r="J131" i="53" s="1"/>
  <c r="A131" i="53"/>
  <c r="C130" i="53"/>
  <c r="H129" i="53"/>
  <c r="J129" i="53" s="1"/>
  <c r="A129" i="53"/>
  <c r="C128" i="53"/>
  <c r="H127" i="53"/>
  <c r="J127" i="53" s="1"/>
  <c r="A127" i="53"/>
  <c r="C126" i="53"/>
  <c r="H125" i="53"/>
  <c r="J125" i="53" s="1"/>
  <c r="A125" i="53"/>
  <c r="C124" i="53"/>
  <c r="H123" i="53"/>
  <c r="J123" i="53" s="1"/>
  <c r="A123" i="53"/>
  <c r="C122" i="53"/>
  <c r="H121" i="53"/>
  <c r="J121" i="53" s="1"/>
  <c r="A121" i="53"/>
  <c r="C120" i="53"/>
  <c r="H119" i="53"/>
  <c r="J119" i="53" s="1"/>
  <c r="A119" i="53"/>
  <c r="C118" i="53"/>
  <c r="H117" i="53"/>
  <c r="J117" i="53" s="1"/>
  <c r="A117" i="53"/>
  <c r="C116" i="53"/>
  <c r="H115" i="53"/>
  <c r="A115" i="53"/>
  <c r="C108" i="53"/>
  <c r="H107" i="53"/>
  <c r="J107" i="53" s="1"/>
  <c r="A107" i="53"/>
  <c r="C106" i="53"/>
  <c r="H105" i="53"/>
  <c r="J105" i="53" s="1"/>
  <c r="A105" i="53"/>
  <c r="C104" i="53"/>
  <c r="H103" i="53"/>
  <c r="J103" i="53" s="1"/>
  <c r="A103" i="53"/>
  <c r="C102" i="53"/>
  <c r="H101" i="53"/>
  <c r="J101" i="53" s="1"/>
  <c r="A101" i="53"/>
  <c r="C100" i="53"/>
  <c r="H99" i="53"/>
  <c r="J99" i="53" s="1"/>
  <c r="A99" i="53"/>
  <c r="C98" i="53"/>
  <c r="H97" i="53"/>
  <c r="A97" i="53"/>
  <c r="C49" i="24"/>
  <c r="F18" i="29"/>
  <c r="L25" i="40"/>
  <c r="C63" i="53"/>
  <c r="H62" i="53"/>
  <c r="J62" i="53" s="1"/>
  <c r="A62" i="53"/>
  <c r="C61" i="53"/>
  <c r="H60" i="53"/>
  <c r="J60" i="53" s="1"/>
  <c r="A60" i="53"/>
  <c r="C59" i="53"/>
  <c r="H58" i="53"/>
  <c r="J58" i="53" s="1"/>
  <c r="A58" i="53"/>
  <c r="C57" i="53"/>
  <c r="H56" i="53"/>
  <c r="J56" i="53" s="1"/>
  <c r="A56" i="53"/>
  <c r="C55" i="53"/>
  <c r="H54" i="53"/>
  <c r="J54" i="53" s="1"/>
  <c r="J65" i="53" s="1"/>
  <c r="F13" i="29" s="1"/>
  <c r="A54" i="53"/>
  <c r="C48" i="53"/>
  <c r="H47" i="53"/>
  <c r="J47" i="53" s="1"/>
  <c r="A47" i="53"/>
  <c r="C46" i="53"/>
  <c r="H45" i="53"/>
  <c r="J45" i="53" s="1"/>
  <c r="A45" i="53"/>
  <c r="C44" i="53"/>
  <c r="H43" i="53"/>
  <c r="J43" i="53" s="1"/>
  <c r="A43" i="53"/>
  <c r="C42" i="53"/>
  <c r="H41" i="53"/>
  <c r="J41" i="53" s="1"/>
  <c r="A41" i="53"/>
  <c r="C40" i="53"/>
  <c r="H39" i="53"/>
  <c r="J39" i="53" s="1"/>
  <c r="A39" i="53"/>
  <c r="C38" i="53"/>
  <c r="H37" i="53"/>
  <c r="J37" i="53" s="1"/>
  <c r="A37" i="53"/>
  <c r="C36" i="53"/>
  <c r="H35" i="53"/>
  <c r="J35" i="53" s="1"/>
  <c r="A35" i="53"/>
  <c r="C34" i="53"/>
  <c r="H33" i="53"/>
  <c r="J33" i="53" s="1"/>
  <c r="L16" i="40" s="1"/>
  <c r="A33" i="53"/>
  <c r="C32" i="53"/>
  <c r="H31" i="53"/>
  <c r="J31" i="53" s="1"/>
  <c r="A31" i="53"/>
  <c r="C30" i="53"/>
  <c r="H29" i="53"/>
  <c r="J29" i="53" s="1"/>
  <c r="A29" i="53"/>
  <c r="C21" i="53"/>
  <c r="H20" i="53"/>
  <c r="J20" i="53" s="1"/>
  <c r="A20" i="53"/>
  <c r="C19" i="53"/>
  <c r="H18" i="53"/>
  <c r="J18" i="53" s="1"/>
  <c r="A18" i="53"/>
  <c r="C17" i="53"/>
  <c r="H16" i="53"/>
  <c r="J16" i="53" s="1"/>
  <c r="A16" i="53"/>
  <c r="C15" i="53"/>
  <c r="H14" i="53"/>
  <c r="J14" i="53" s="1"/>
  <c r="A14" i="53"/>
  <c r="C13" i="53"/>
  <c r="H12" i="53"/>
  <c r="J12" i="53" s="1"/>
  <c r="A12" i="53"/>
  <c r="C11" i="53"/>
  <c r="H10" i="53"/>
  <c r="J10" i="53" s="1"/>
  <c r="J23" i="53" s="1"/>
  <c r="N184" i="40"/>
  <c r="N186" i="40" s="1"/>
  <c r="G25" i="30"/>
  <c r="D47" i="22"/>
  <c r="N25" i="40"/>
  <c r="G18" i="29"/>
  <c r="C50" i="24"/>
  <c r="G15" i="29"/>
  <c r="N12" i="40"/>
  <c r="G14" i="29"/>
  <c r="N7" i="40"/>
  <c r="G7" i="29"/>
  <c r="C149" i="7"/>
  <c r="C148" i="7"/>
  <c r="C147" i="7"/>
  <c r="C146" i="7"/>
  <c r="C145" i="7"/>
  <c r="C144" i="7"/>
  <c r="C143" i="7"/>
  <c r="C142" i="7"/>
  <c r="C141" i="7"/>
  <c r="C140" i="7"/>
  <c r="H134" i="7"/>
  <c r="J134" i="7" s="1"/>
  <c r="A134" i="7"/>
  <c r="C133" i="7"/>
  <c r="H132" i="7"/>
  <c r="J132" i="7" s="1"/>
  <c r="A132" i="7"/>
  <c r="C131" i="7"/>
  <c r="H130" i="7"/>
  <c r="J130" i="7" s="1"/>
  <c r="A130" i="7"/>
  <c r="C129" i="7"/>
  <c r="H128" i="7"/>
  <c r="J128" i="7" s="1"/>
  <c r="A128" i="7"/>
  <c r="C127" i="7"/>
  <c r="H126" i="7"/>
  <c r="J126" i="7" s="1"/>
  <c r="A126" i="7"/>
  <c r="C125" i="7"/>
  <c r="H124" i="7"/>
  <c r="J124" i="7" s="1"/>
  <c r="A124" i="7"/>
  <c r="C123" i="7"/>
  <c r="H122" i="7"/>
  <c r="J122" i="7" s="1"/>
  <c r="A122" i="7"/>
  <c r="C121" i="7"/>
  <c r="H120" i="7"/>
  <c r="J120" i="7" s="1"/>
  <c r="A120" i="7"/>
  <c r="C119" i="7"/>
  <c r="H118" i="7"/>
  <c r="J118" i="7" s="1"/>
  <c r="A118" i="7"/>
  <c r="C117" i="7"/>
  <c r="H116" i="7"/>
  <c r="J116" i="7" s="1"/>
  <c r="A116" i="7"/>
  <c r="C115" i="7"/>
  <c r="H108" i="7"/>
  <c r="J108" i="7" s="1"/>
  <c r="A108" i="7"/>
  <c r="C107" i="7"/>
  <c r="H106" i="7"/>
  <c r="J106" i="7" s="1"/>
  <c r="A106" i="7"/>
  <c r="C105" i="7"/>
  <c r="H104" i="7"/>
  <c r="J104" i="7" s="1"/>
  <c r="A104" i="7"/>
  <c r="C103" i="7"/>
  <c r="H102" i="7"/>
  <c r="J102" i="7" s="1"/>
  <c r="A102" i="7"/>
  <c r="C101" i="7"/>
  <c r="H100" i="7"/>
  <c r="J100" i="7" s="1"/>
  <c r="A100" i="7"/>
  <c r="C99" i="7"/>
  <c r="H98" i="7"/>
  <c r="J98" i="7" s="1"/>
  <c r="A98" i="7"/>
  <c r="C97" i="7"/>
  <c r="P27" i="40"/>
  <c r="H63" i="7"/>
  <c r="J63" i="7" s="1"/>
  <c r="A63" i="7"/>
  <c r="C62" i="7"/>
  <c r="H61" i="7"/>
  <c r="J61" i="7" s="1"/>
  <c r="A61" i="7"/>
  <c r="C60" i="7"/>
  <c r="H59" i="7"/>
  <c r="J59" i="7" s="1"/>
  <c r="A59" i="7"/>
  <c r="C58" i="7"/>
  <c r="H57" i="7"/>
  <c r="J57" i="7" s="1"/>
  <c r="A57" i="7"/>
  <c r="C56" i="7"/>
  <c r="H55" i="7"/>
  <c r="A55" i="7"/>
  <c r="A54" i="7"/>
  <c r="C48" i="7"/>
  <c r="H47" i="7"/>
  <c r="J47" i="7" s="1"/>
  <c r="A47" i="7"/>
  <c r="C46" i="7"/>
  <c r="H45" i="7"/>
  <c r="J45" i="7" s="1"/>
  <c r="A45" i="7"/>
  <c r="C44" i="7"/>
  <c r="H43" i="7"/>
  <c r="J43" i="7" s="1"/>
  <c r="A43" i="7"/>
  <c r="C42" i="7"/>
  <c r="H41" i="7"/>
  <c r="J41" i="7" s="1"/>
  <c r="A41" i="7"/>
  <c r="C40" i="7"/>
  <c r="H39" i="7"/>
  <c r="J39" i="7" s="1"/>
  <c r="A39" i="7"/>
  <c r="C38" i="7"/>
  <c r="H37" i="7"/>
  <c r="J37" i="7" s="1"/>
  <c r="A37" i="7"/>
  <c r="C36" i="7"/>
  <c r="H35" i="7"/>
  <c r="J35" i="7" s="1"/>
  <c r="A35" i="7"/>
  <c r="C34" i="7"/>
  <c r="H33" i="7"/>
  <c r="J33" i="7" s="1"/>
  <c r="A33" i="7"/>
  <c r="C32" i="7"/>
  <c r="H31" i="7"/>
  <c r="J31" i="7" s="1"/>
  <c r="A31" i="7"/>
  <c r="C30" i="7"/>
  <c r="H29" i="7"/>
  <c r="A29" i="7"/>
  <c r="C21" i="7"/>
  <c r="H20" i="7"/>
  <c r="J20" i="7" s="1"/>
  <c r="A20" i="7"/>
  <c r="C19" i="7"/>
  <c r="H18" i="7"/>
  <c r="J18" i="7" s="1"/>
  <c r="A18" i="7"/>
  <c r="C17" i="7"/>
  <c r="H16" i="7"/>
  <c r="J16" i="7" s="1"/>
  <c r="A16" i="7"/>
  <c r="C15" i="7"/>
  <c r="H14" i="7"/>
  <c r="J14" i="7" s="1"/>
  <c r="A14" i="7"/>
  <c r="C13" i="7"/>
  <c r="H12" i="7"/>
  <c r="J12" i="7" s="1"/>
  <c r="A12" i="7"/>
  <c r="C11" i="7"/>
  <c r="H10" i="7"/>
  <c r="R44" i="40"/>
  <c r="R48" i="40" s="1"/>
  <c r="R156" i="40" s="1"/>
  <c r="D57" i="8"/>
  <c r="D67" i="8" s="1"/>
  <c r="D72" i="8" s="1"/>
  <c r="R25" i="40"/>
  <c r="I18" i="29"/>
  <c r="C52" i="24"/>
  <c r="R14" i="40"/>
  <c r="I15" i="29"/>
  <c r="R10" i="40"/>
  <c r="I13" i="29"/>
  <c r="I17" i="8"/>
  <c r="I19" i="8" s="1"/>
  <c r="D50" i="22"/>
  <c r="I46" i="54"/>
  <c r="J26" i="30" s="1"/>
  <c r="T184" i="40"/>
  <c r="T186" i="40" s="1"/>
  <c r="J25" i="30"/>
  <c r="D52" i="10"/>
  <c r="V46" i="40"/>
  <c r="V44" i="40"/>
  <c r="V48" i="40" s="1"/>
  <c r="V156" i="40" s="1"/>
  <c r="V176" i="40" s="1"/>
  <c r="V42" i="40"/>
  <c r="I37" i="10"/>
  <c r="I47" i="10" s="1"/>
  <c r="F74" i="11"/>
  <c r="G59" i="11"/>
  <c r="G69" i="11" s="1"/>
  <c r="G74" i="11" s="1"/>
  <c r="X44" i="40"/>
  <c r="X48" i="40" s="1"/>
  <c r="X156" i="40" s="1"/>
  <c r="AC173" i="40"/>
  <c r="AC174" i="40" s="1"/>
  <c r="AC176" i="40" s="1"/>
  <c r="B20" i="32"/>
  <c r="AC27" i="40"/>
  <c r="B16" i="31"/>
  <c r="AC10" i="40"/>
  <c r="AC18" i="40" s="1"/>
  <c r="AC21" i="40" s="1"/>
  <c r="AC29" i="40" s="1"/>
  <c r="AC192" i="40" s="1"/>
  <c r="B10" i="31"/>
  <c r="B14" i="31" s="1"/>
  <c r="B18" i="31" s="1"/>
  <c r="B20" i="31" s="1"/>
  <c r="AF184" i="40"/>
  <c r="D25" i="32"/>
  <c r="H25" i="32" s="1"/>
  <c r="C13" i="28" s="1"/>
  <c r="I44" i="22"/>
  <c r="I51" i="13"/>
  <c r="D26" i="32" s="1"/>
  <c r="H26" i="32" s="1"/>
  <c r="C14" i="28" s="1"/>
  <c r="H53" i="13"/>
  <c r="H58" i="13" s="1"/>
  <c r="F53" i="13"/>
  <c r="F58" i="13" s="1"/>
  <c r="AF163" i="40"/>
  <c r="AF165" i="40" s="1"/>
  <c r="AF176" i="40" s="1"/>
  <c r="AF188" i="40" s="1"/>
  <c r="B27" i="27"/>
  <c r="I50" i="17"/>
  <c r="AH25" i="40"/>
  <c r="E15" i="31"/>
  <c r="C59" i="24"/>
  <c r="AH10" i="40"/>
  <c r="AH18" i="40" s="1"/>
  <c r="E10" i="31"/>
  <c r="AJ44" i="40"/>
  <c r="AJ48" i="40" s="1"/>
  <c r="AJ156" i="40" s="1"/>
  <c r="AJ23" i="40"/>
  <c r="D17" i="31"/>
  <c r="AJ14" i="40"/>
  <c r="AJ10" i="40"/>
  <c r="AN127" i="40"/>
  <c r="AN125" i="40"/>
  <c r="AN16" i="40"/>
  <c r="AN7" i="40"/>
  <c r="K7" i="29"/>
  <c r="AL35" i="40"/>
  <c r="AU184" i="40"/>
  <c r="M25" i="30"/>
  <c r="D45" i="18"/>
  <c r="D50" i="18" s="1"/>
  <c r="AU35" i="40"/>
  <c r="I35" i="18"/>
  <c r="AU33" i="40"/>
  <c r="D54" i="19"/>
  <c r="AP34" i="40"/>
  <c r="I39" i="19"/>
  <c r="I49" i="19" s="1"/>
  <c r="BC43" i="40"/>
  <c r="I48" i="20"/>
  <c r="BC35" i="40"/>
  <c r="BC39" i="40" s="1"/>
  <c r="AW43" i="40"/>
  <c r="I47" i="21"/>
  <c r="I49" i="21" s="1"/>
  <c r="I58" i="21" s="1"/>
  <c r="I56" i="39"/>
  <c r="G26" i="32" s="1"/>
  <c r="F58" i="39"/>
  <c r="F63" i="39" s="1"/>
  <c r="BE44" i="40"/>
  <c r="BE27" i="40"/>
  <c r="G16" i="31"/>
  <c r="BE10" i="40"/>
  <c r="BE18" i="40" s="1"/>
  <c r="BE21" i="40" s="1"/>
  <c r="BE29" i="40" s="1"/>
  <c r="G10" i="31"/>
  <c r="G14" i="31" s="1"/>
  <c r="D52" i="22"/>
  <c r="I49" i="22"/>
  <c r="I45" i="22"/>
  <c r="C54" i="24"/>
  <c r="G26" i="25"/>
  <c r="G37" i="25" s="1"/>
  <c r="G42" i="25" s="1"/>
  <c r="E48" i="25" s="1"/>
  <c r="F49" i="25" s="1"/>
  <c r="G52" i="25" s="1"/>
  <c r="G54" i="25" s="1"/>
  <c r="L18" i="29"/>
  <c r="K16" i="29"/>
  <c r="J7" i="29"/>
  <c r="H17" i="31"/>
  <c r="C9" i="28" s="1"/>
  <c r="D13" i="31"/>
  <c r="H13" i="31" s="1"/>
  <c r="E25" i="32"/>
  <c r="C22" i="32"/>
  <c r="C24" i="32" s="1"/>
  <c r="F8" i="32"/>
  <c r="F11" i="32" s="1"/>
  <c r="AH184" i="40"/>
  <c r="AH186" i="40" s="1"/>
  <c r="AH188" i="40" s="1"/>
  <c r="AY156" i="40"/>
  <c r="AY176" i="40" s="1"/>
  <c r="AY188" i="40" s="1"/>
  <c r="AY192" i="40" s="1"/>
  <c r="AP156" i="40"/>
  <c r="AD156" i="40"/>
  <c r="AW34" i="40"/>
  <c r="AR192" i="40"/>
  <c r="AN27" i="40"/>
  <c r="R184" i="40"/>
  <c r="R186" i="40" s="1"/>
  <c r="I25" i="30"/>
  <c r="D49" i="22"/>
  <c r="R37" i="40"/>
  <c r="R35" i="40"/>
  <c r="R27" i="40"/>
  <c r="I19" i="29"/>
  <c r="R7" i="40"/>
  <c r="I7" i="29"/>
  <c r="T37" i="40"/>
  <c r="T35" i="40"/>
  <c r="T10" i="40"/>
  <c r="T18" i="40" s="1"/>
  <c r="T21" i="40" s="1"/>
  <c r="T29" i="40" s="1"/>
  <c r="V184" i="40"/>
  <c r="V186" i="40" s="1"/>
  <c r="D51" i="22"/>
  <c r="X173" i="40"/>
  <c r="X174" i="40" s="1"/>
  <c r="X37" i="40"/>
  <c r="X35" i="40"/>
  <c r="X16" i="40"/>
  <c r="J16" i="29"/>
  <c r="AD21" i="40"/>
  <c r="AD29" i="40" s="1"/>
  <c r="AF164" i="40"/>
  <c r="AH39" i="40"/>
  <c r="AH176" i="40" s="1"/>
  <c r="I15" i="14"/>
  <c r="I17" i="14" s="1"/>
  <c r="AH27" i="40"/>
  <c r="E16" i="31"/>
  <c r="AH7" i="40"/>
  <c r="E8" i="31"/>
  <c r="I51" i="37"/>
  <c r="AJ37" i="40"/>
  <c r="AJ39" i="40" s="1"/>
  <c r="I25" i="37"/>
  <c r="I27" i="37" s="1"/>
  <c r="AN184" i="40"/>
  <c r="K25" i="30"/>
  <c r="I24" i="16"/>
  <c r="AN25" i="40"/>
  <c r="K18" i="29"/>
  <c r="C61" i="24"/>
  <c r="AN14" i="40"/>
  <c r="K15" i="29"/>
  <c r="AN10" i="40"/>
  <c r="I45" i="17"/>
  <c r="AL186" i="40"/>
  <c r="AL38" i="40"/>
  <c r="AL10" i="40"/>
  <c r="AL18" i="40" s="1"/>
  <c r="AL21" i="40" s="1"/>
  <c r="AL29" i="40" s="1"/>
  <c r="L13" i="29"/>
  <c r="L17" i="29" s="1"/>
  <c r="AU186" i="40"/>
  <c r="AU25" i="40"/>
  <c r="M18" i="29"/>
  <c r="C63" i="24"/>
  <c r="I15" i="18"/>
  <c r="I17" i="18" s="1"/>
  <c r="AU7" i="40"/>
  <c r="AU21" i="40" s="1"/>
  <c r="AU29" i="40" s="1"/>
  <c r="M7" i="29"/>
  <c r="AP7" i="40"/>
  <c r="I21" i="19"/>
  <c r="BC46" i="40"/>
  <c r="BC25" i="40"/>
  <c r="C65" i="24"/>
  <c r="I14" i="20"/>
  <c r="I16" i="20" s="1"/>
  <c r="AW35" i="40"/>
  <c r="H58" i="39"/>
  <c r="H63" i="39" s="1"/>
  <c r="I47" i="39"/>
  <c r="G12" i="32" s="1"/>
  <c r="G18" i="32" s="1"/>
  <c r="BE48" i="40"/>
  <c r="BE156" i="40" s="1"/>
  <c r="D49" i="39"/>
  <c r="D58" i="39" s="1"/>
  <c r="D63" i="39" s="1"/>
  <c r="BE34" i="40"/>
  <c r="I33" i="39"/>
  <c r="I48" i="22"/>
  <c r="I46" i="22"/>
  <c r="C62" i="24"/>
  <c r="C58" i="24"/>
  <c r="C56" i="24"/>
  <c r="B32" i="27"/>
  <c r="J18" i="29"/>
  <c r="I16" i="29"/>
  <c r="M13" i="29"/>
  <c r="M17" i="29" s="1"/>
  <c r="M21" i="29" s="1"/>
  <c r="M23" i="29" s="1"/>
  <c r="L7" i="29"/>
  <c r="L25" i="30"/>
  <c r="L22" i="30"/>
  <c r="L24" i="30" s="1"/>
  <c r="D15" i="31"/>
  <c r="H15" i="31" s="1"/>
  <c r="C10" i="28" s="1"/>
  <c r="B15" i="31"/>
  <c r="D11" i="31"/>
  <c r="B11" i="31"/>
  <c r="D8" i="31"/>
  <c r="B8" i="31"/>
  <c r="H8" i="31" s="1"/>
  <c r="C7" i="28" s="1"/>
  <c r="BE181" i="40"/>
  <c r="BE186" i="40" s="1"/>
  <c r="BA192" i="40"/>
  <c r="AU38" i="40"/>
  <c r="AU10" i="40"/>
  <c r="AU18" i="40" s="1"/>
  <c r="AP37" i="40"/>
  <c r="AP35" i="40"/>
  <c r="AP10" i="40"/>
  <c r="AP18" i="40" s="1"/>
  <c r="BC10" i="40"/>
  <c r="BC18" i="40" s="1"/>
  <c r="AW46" i="40"/>
  <c r="AW44" i="40"/>
  <c r="AW37" i="40"/>
  <c r="AW21" i="40"/>
  <c r="BE37" i="40"/>
  <c r="BE35" i="40"/>
  <c r="C67" i="24"/>
  <c r="C16" i="26"/>
  <c r="D16" i="26" s="1"/>
  <c r="F16" i="26" s="1"/>
  <c r="M19" i="29"/>
  <c r="G15" i="31"/>
  <c r="G8" i="31"/>
  <c r="AL156" i="40"/>
  <c r="BG176" i="40"/>
  <c r="BG188" i="40" s="1"/>
  <c r="BG192" i="40" s="1"/>
  <c r="U23" i="48"/>
  <c r="S23" i="48"/>
  <c r="T23" i="48"/>
  <c r="S22" i="48"/>
  <c r="T22" i="48"/>
  <c r="S13" i="48"/>
  <c r="U13" i="48"/>
  <c r="P34" i="47" a="1"/>
  <c r="P34" i="47" s="1"/>
  <c r="Q54" i="52" a="1"/>
  <c r="Q54" i="52" s="1"/>
  <c r="W24" i="47" a="1"/>
  <c r="W24" i="47" s="1"/>
  <c r="X24" i="47" s="1"/>
  <c r="G44" i="52" a="1"/>
  <c r="G44" i="52" s="1"/>
  <c r="E24" i="47" a="1"/>
  <c r="E24" i="47" s="1"/>
  <c r="H34" i="52" a="1"/>
  <c r="H34" i="52" s="1"/>
  <c r="G93" i="52" a="1"/>
  <c r="G93" i="52" s="1"/>
  <c r="U14" i="47" a="1"/>
  <c r="U14" i="47" s="1"/>
  <c r="P44" i="47" a="1"/>
  <c r="P44" i="47" s="1"/>
  <c r="G10" i="5" a="1"/>
  <c r="G10" i="5" s="1"/>
  <c r="I10" i="5" s="1"/>
  <c r="D42" i="40" s="1"/>
  <c r="G226" i="4" a="1"/>
  <c r="G226" i="4" s="1"/>
  <c r="I226" i="4" s="1"/>
  <c r="U14" i="52" a="1"/>
  <c r="U14" i="52" s="1"/>
  <c r="G556" i="42" a="1"/>
  <c r="G556" i="42" s="1"/>
  <c r="I556" i="42" s="1"/>
  <c r="P81" i="52" a="1"/>
  <c r="P81" i="52" s="1"/>
  <c r="F54" i="47" a="1"/>
  <c r="F54" i="47" s="1"/>
  <c r="G556" i="4" a="1"/>
  <c r="G556" i="4" s="1"/>
  <c r="I556" i="4" s="1"/>
  <c r="W70" i="47" a="1"/>
  <c r="W70" i="47" s="1"/>
  <c r="G433" i="41" a="1"/>
  <c r="G433" i="41" s="1"/>
  <c r="I433" i="41" s="1"/>
  <c r="F139" i="40" s="1"/>
  <c r="L34" i="52" a="1"/>
  <c r="L34" i="52" s="1"/>
  <c r="G24" i="47" a="1"/>
  <c r="G24" i="47" s="1"/>
  <c r="S44" i="52" a="1"/>
  <c r="S44" i="52" s="1"/>
  <c r="I24" i="52" a="1"/>
  <c r="I24" i="52" s="1"/>
  <c r="S14" i="47" a="1"/>
  <c r="S14" i="47" s="1"/>
  <c r="U54" i="47" a="1"/>
  <c r="U54" i="47" s="1"/>
  <c r="N44" i="47" a="1"/>
  <c r="N44" i="47" s="1"/>
  <c r="G964" i="4" a="1"/>
  <c r="G964" i="4" s="1"/>
  <c r="I964" i="4" s="1"/>
  <c r="M70" i="52" a="1"/>
  <c r="M70" i="52" s="1"/>
  <c r="H70" i="52" a="1"/>
  <c r="H70" i="52" s="1"/>
  <c r="O93" i="47" a="1"/>
  <c r="O93" i="47" s="1"/>
  <c r="H70" i="47" a="1"/>
  <c r="H70" i="47" s="1"/>
  <c r="G482" i="4" a="1"/>
  <c r="G482" i="4" s="1"/>
  <c r="I482" i="4" s="1"/>
  <c r="S24" i="47" a="1"/>
  <c r="S24" i="47" s="1"/>
  <c r="G121" i="41" a="1"/>
  <c r="G121" i="41" s="1"/>
  <c r="I121" i="41" s="1"/>
  <c r="F60" i="40" s="1"/>
  <c r="T34" i="47" a="1"/>
  <c r="T34" i="47" s="1"/>
  <c r="G11" i="42" a="1"/>
  <c r="G11" i="42" s="1"/>
  <c r="I11" i="42" s="1"/>
  <c r="G121" i="5" a="1"/>
  <c r="G121" i="5" s="1"/>
  <c r="I121" i="5" s="1"/>
  <c r="D60" i="40" s="1"/>
  <c r="G190" i="41" a="1"/>
  <c r="G190" i="41" s="1"/>
  <c r="I190" i="41" s="1"/>
  <c r="F78" i="40" s="1"/>
  <c r="I54" i="47" a="1"/>
  <c r="I54" i="47" s="1"/>
  <c r="U34" i="47" a="1"/>
  <c r="U34" i="47" s="1"/>
  <c r="G371" i="42" a="1"/>
  <c r="G371" i="42" s="1"/>
  <c r="I371" i="42" s="1"/>
  <c r="E70" i="52" a="1"/>
  <c r="E70" i="52" s="1"/>
  <c r="H81" i="47" a="1"/>
  <c r="H81" i="47" s="1"/>
  <c r="E70" i="47" a="1"/>
  <c r="E70" i="47" s="1"/>
  <c r="T24" i="47" a="1"/>
  <c r="T24" i="47" s="1"/>
  <c r="F93" i="52" a="1"/>
  <c r="F93" i="52" s="1"/>
  <c r="K24" i="52" a="1"/>
  <c r="K24" i="52" s="1"/>
  <c r="N14" i="52" a="1"/>
  <c r="N14" i="52" s="1"/>
  <c r="G254" i="41" a="1"/>
  <c r="G254" i="41" s="1"/>
  <c r="I254" i="41" s="1"/>
  <c r="F95" i="40" s="1"/>
  <c r="G47" i="5" a="1"/>
  <c r="G47" i="5" s="1"/>
  <c r="I47" i="5" s="1"/>
  <c r="D51" i="40" s="1"/>
  <c r="G54" i="52" a="1"/>
  <c r="G54" i="52" s="1"/>
  <c r="L93" i="52" a="1"/>
  <c r="L93" i="52" s="1"/>
  <c r="W24" i="52" a="1"/>
  <c r="W24" i="52" s="1"/>
  <c r="T13" i="48"/>
  <c r="G464" i="5" a="1"/>
  <c r="G464" i="5" s="1"/>
  <c r="I464" i="5" s="1"/>
  <c r="D148" i="40" s="1"/>
  <c r="BI148" i="40" s="1"/>
  <c r="Q14" i="52" a="1"/>
  <c r="Q14" i="52" s="1"/>
  <c r="G853" i="42" a="1"/>
  <c r="G853" i="42" s="1"/>
  <c r="I853" i="42" s="1"/>
  <c r="J34" i="52" a="1"/>
  <c r="J34" i="52" s="1"/>
  <c r="N93" i="52" a="1"/>
  <c r="N93" i="52" s="1"/>
  <c r="E44" i="47" a="1"/>
  <c r="E44" i="47" s="1"/>
  <c r="E44" i="52" a="1"/>
  <c r="E44" i="52" s="1"/>
  <c r="C104" i="24" a="1"/>
  <c r="C104" i="24" s="1"/>
  <c r="Q93" i="47" a="1"/>
  <c r="Q93" i="47" s="1"/>
  <c r="R24" i="47" a="1"/>
  <c r="R24" i="47" s="1"/>
  <c r="G11" i="4" a="1"/>
  <c r="G11" i="4" s="1"/>
  <c r="I11" i="4" s="1"/>
  <c r="V70" i="52" a="1"/>
  <c r="V70" i="52" s="1"/>
  <c r="D54" i="47" a="1"/>
  <c r="D54" i="47" s="1"/>
  <c r="G410" i="5" a="1"/>
  <c r="G410" i="5" s="1"/>
  <c r="I410" i="5" s="1"/>
  <c r="D130" i="40" s="1"/>
  <c r="W14" i="52" a="1"/>
  <c r="W14" i="52" s="1"/>
  <c r="G853" i="4" a="1"/>
  <c r="G853" i="4" s="1"/>
  <c r="I853" i="4" s="1"/>
  <c r="V44" i="52" a="1"/>
  <c r="V44" i="52" s="1"/>
  <c r="P14" i="47" a="1"/>
  <c r="P14" i="47" s="1"/>
  <c r="I44" i="52" a="1"/>
  <c r="I44" i="52" s="1"/>
  <c r="I44" i="47" a="1"/>
  <c r="I44" i="47" s="1"/>
  <c r="G779" i="4" a="1"/>
  <c r="G779" i="4" s="1"/>
  <c r="I779" i="4" s="1"/>
  <c r="F70" i="52" a="1"/>
  <c r="F70" i="52" s="1"/>
  <c r="L14" i="52" a="1"/>
  <c r="L14" i="52" s="1"/>
  <c r="U81" i="47" a="1"/>
  <c r="U81" i="47" s="1"/>
  <c r="D93" i="52" a="1"/>
  <c r="D93" i="52" s="1"/>
  <c r="G24" i="52" a="1"/>
  <c r="G24" i="52" s="1"/>
  <c r="J14" i="52" a="1"/>
  <c r="J14" i="52" s="1"/>
  <c r="O34" i="47" a="1"/>
  <c r="O34" i="47" s="1"/>
  <c r="C159" i="24" a="1"/>
  <c r="C159" i="24" s="1"/>
  <c r="K93" i="52" a="1"/>
  <c r="K93" i="52" s="1"/>
  <c r="T93" i="52" a="1"/>
  <c r="T93" i="52" s="1"/>
  <c r="V34" i="52" a="1"/>
  <c r="V34" i="52" s="1"/>
  <c r="G298" i="4" a="1"/>
  <c r="G298" i="4" s="1"/>
  <c r="I298" i="4" s="1"/>
  <c r="W93" i="52" a="1"/>
  <c r="W93" i="52" s="1"/>
  <c r="Q70" i="52" a="1"/>
  <c r="Q70" i="52" s="1"/>
  <c r="T81" i="47" a="1"/>
  <c r="T81" i="47" s="1"/>
  <c r="Q70" i="47" a="1"/>
  <c r="Q70" i="47" s="1"/>
  <c r="J14" i="47" a="1"/>
  <c r="J14" i="47" s="1"/>
  <c r="R54" i="52" a="1"/>
  <c r="R54" i="52" s="1"/>
  <c r="O81" i="47" a="1"/>
  <c r="O81" i="47" s="1"/>
  <c r="X81" i="47" s="1"/>
  <c r="R93" i="47" a="1"/>
  <c r="R93" i="47" s="1"/>
  <c r="G593" i="42" a="1"/>
  <c r="G593" i="42" s="1"/>
  <c r="I593" i="42" s="1"/>
  <c r="G433" i="5" a="1"/>
  <c r="G433" i="5" s="1"/>
  <c r="I433" i="5" s="1"/>
  <c r="D139" i="40" s="1"/>
  <c r="N81" i="52" a="1"/>
  <c r="N81" i="52" s="1"/>
  <c r="E93" i="47" a="1"/>
  <c r="E93" i="47" s="1"/>
  <c r="R44" i="47" a="1"/>
  <c r="R44" i="47" s="1"/>
  <c r="X44" i="47" s="1"/>
  <c r="G890" i="4" a="1"/>
  <c r="G890" i="4" s="1"/>
  <c r="I890" i="4" s="1"/>
  <c r="J54" i="52" a="1"/>
  <c r="J54" i="52" s="1"/>
  <c r="D24" i="52" a="1"/>
  <c r="D24" i="52" s="1"/>
  <c r="U70" i="47" a="1"/>
  <c r="U70" i="47" s="1"/>
  <c r="N14" i="47" a="1"/>
  <c r="N14" i="47" s="1"/>
  <c r="J70" i="47" a="1"/>
  <c r="J70" i="47" s="1"/>
  <c r="G668" i="4" a="1"/>
  <c r="G668" i="4" s="1"/>
  <c r="I668" i="4" s="1"/>
  <c r="S200" i="48"/>
  <c r="T200" i="48"/>
  <c r="U200" i="48"/>
  <c r="U192" i="48"/>
  <c r="S192" i="48"/>
  <c r="T192" i="48"/>
  <c r="U184" i="48"/>
  <c r="S184" i="48"/>
  <c r="T184" i="48"/>
  <c r="S165" i="48"/>
  <c r="U165" i="48"/>
  <c r="T165" i="48"/>
  <c r="S157" i="48"/>
  <c r="U157" i="48"/>
  <c r="T157" i="48"/>
  <c r="S126" i="48"/>
  <c r="U126" i="48"/>
  <c r="T126" i="48"/>
  <c r="S122" i="48"/>
  <c r="U122" i="48"/>
  <c r="T122" i="48"/>
  <c r="S114" i="48"/>
  <c r="U114" i="48"/>
  <c r="T114" i="48"/>
  <c r="S106" i="48"/>
  <c r="U106" i="48"/>
  <c r="T106" i="48"/>
  <c r="T96" i="48"/>
  <c r="U96" i="48"/>
  <c r="S96" i="48"/>
  <c r="T88" i="48"/>
  <c r="U88" i="48"/>
  <c r="S88" i="48"/>
  <c r="S75" i="48"/>
  <c r="U75" i="48"/>
  <c r="T75" i="48"/>
  <c r="S71" i="48"/>
  <c r="U71" i="48"/>
  <c r="T71" i="48"/>
  <c r="S67" i="48"/>
  <c r="U67" i="48"/>
  <c r="T67" i="48"/>
  <c r="S63" i="48"/>
  <c r="U63" i="48"/>
  <c r="T63" i="48"/>
  <c r="S59" i="48"/>
  <c r="U59" i="48"/>
  <c r="T59" i="48"/>
  <c r="T33" i="48"/>
  <c r="S33" i="48"/>
  <c r="U33" i="48"/>
  <c r="S30" i="48"/>
  <c r="T30" i="48"/>
  <c r="U196" i="48"/>
  <c r="S196" i="48"/>
  <c r="T196" i="48"/>
  <c r="U188" i="48"/>
  <c r="S188" i="48"/>
  <c r="T188" i="48"/>
  <c r="U169" i="48"/>
  <c r="S169" i="48"/>
  <c r="T169" i="48"/>
  <c r="S161" i="48"/>
  <c r="T161" i="48"/>
  <c r="U161" i="48"/>
  <c r="S153" i="48"/>
  <c r="T153" i="48"/>
  <c r="U153" i="48"/>
  <c r="S119" i="48"/>
  <c r="U119" i="48"/>
  <c r="T119" i="48"/>
  <c r="S110" i="48"/>
  <c r="T110" i="48"/>
  <c r="U110" i="48"/>
  <c r="T100" i="48"/>
  <c r="U100" i="48"/>
  <c r="S100" i="48"/>
  <c r="T92" i="48"/>
  <c r="U92" i="48"/>
  <c r="S92" i="48"/>
  <c r="T84" i="48"/>
  <c r="U84" i="48"/>
  <c r="S84" i="48"/>
  <c r="S77" i="48"/>
  <c r="T77" i="48"/>
  <c r="U77" i="48"/>
  <c r="S73" i="48"/>
  <c r="T73" i="48"/>
  <c r="U73" i="48"/>
  <c r="S69" i="48"/>
  <c r="T69" i="48"/>
  <c r="U69" i="48"/>
  <c r="S65" i="48"/>
  <c r="T65" i="48"/>
  <c r="U65" i="48"/>
  <c r="S57" i="48"/>
  <c r="T57" i="48"/>
  <c r="U57" i="48"/>
  <c r="S53" i="48"/>
  <c r="T53" i="48"/>
  <c r="U53" i="48"/>
  <c r="S51" i="48"/>
  <c r="T51" i="48"/>
  <c r="U51" i="48"/>
  <c r="S49" i="48"/>
  <c r="T49" i="48"/>
  <c r="U49" i="48"/>
  <c r="S47" i="48"/>
  <c r="T47" i="48"/>
  <c r="U47" i="48"/>
  <c r="T45" i="48"/>
  <c r="S45" i="48"/>
  <c r="U45" i="48"/>
  <c r="T43" i="48"/>
  <c r="U43" i="48"/>
  <c r="S43" i="48"/>
  <c r="T41" i="48"/>
  <c r="S41" i="48"/>
  <c r="U41" i="48"/>
  <c r="T39" i="48"/>
  <c r="U39" i="48"/>
  <c r="S39" i="48"/>
  <c r="T37" i="48"/>
  <c r="S37" i="48"/>
  <c r="U37" i="48"/>
  <c r="F130" i="40"/>
  <c r="T28" i="48"/>
  <c r="U19" i="48"/>
  <c r="T14" i="48"/>
  <c r="AA14" i="48" s="1"/>
  <c r="AB14" i="48" s="1"/>
  <c r="AA163" i="48"/>
  <c r="AB163" i="48" s="1"/>
  <c r="H560" i="41"/>
  <c r="G22" i="30"/>
  <c r="G24" i="30" s="1"/>
  <c r="H11" i="31"/>
  <c r="AN186" i="40"/>
  <c r="AJ186" i="40"/>
  <c r="AF186" i="40"/>
  <c r="AC186" i="40"/>
  <c r="AC188" i="40" s="1"/>
  <c r="BC48" i="40"/>
  <c r="BC156" i="40" s="1"/>
  <c r="H18" i="40"/>
  <c r="H21" i="40" s="1"/>
  <c r="U60" i="48"/>
  <c r="AA60" i="48" s="1"/>
  <c r="AB60" i="48" s="1"/>
  <c r="I560" i="5"/>
  <c r="D37" i="40"/>
  <c r="D36" i="40"/>
  <c r="H540" i="5"/>
  <c r="H552" i="5" s="1"/>
  <c r="H558" i="5" s="1"/>
  <c r="H562" i="5" s="1"/>
  <c r="F36" i="40"/>
  <c r="N19" i="29"/>
  <c r="N11" i="29"/>
  <c r="N27" i="30"/>
  <c r="B16" i="28" s="1"/>
  <c r="D16" i="28" s="1"/>
  <c r="H156" i="40"/>
  <c r="H176" i="40" s="1"/>
  <c r="N48" i="40"/>
  <c r="N156" i="40" s="1"/>
  <c r="N176" i="40" s="1"/>
  <c r="BE39" i="40"/>
  <c r="AW39" i="40"/>
  <c r="X39" i="40"/>
  <c r="AW29" i="40"/>
  <c r="R18" i="40"/>
  <c r="R21" i="40" s="1"/>
  <c r="I84" i="41"/>
  <c r="F51" i="40" s="1"/>
  <c r="I191" i="4"/>
  <c r="X24" i="52"/>
  <c r="I83" i="42"/>
  <c r="T27" i="48"/>
  <c r="S27" i="48"/>
  <c r="U27" i="48"/>
  <c r="T25" i="48"/>
  <c r="S25" i="48"/>
  <c r="U25" i="48"/>
  <c r="T18" i="48"/>
  <c r="S18" i="48"/>
  <c r="U18" i="48"/>
  <c r="T16" i="48"/>
  <c r="S16" i="48"/>
  <c r="U16" i="48"/>
  <c r="T29" i="48"/>
  <c r="S29" i="48"/>
  <c r="U29" i="48"/>
  <c r="T26" i="48"/>
  <c r="S26" i="48"/>
  <c r="U26" i="48"/>
  <c r="S24" i="48"/>
  <c r="U24" i="48"/>
  <c r="T24" i="48"/>
  <c r="T17" i="48"/>
  <c r="S17" i="48"/>
  <c r="U17" i="48"/>
  <c r="U21" i="48"/>
  <c r="T21" i="48"/>
  <c r="S21" i="48"/>
  <c r="U15" i="48"/>
  <c r="W54" i="47" a="1"/>
  <c r="W54" i="47" s="1"/>
  <c r="T15" i="48"/>
  <c r="S15" i="48"/>
  <c r="R9" i="48"/>
  <c r="S201" i="48"/>
  <c r="T201" i="48"/>
  <c r="S197" i="48"/>
  <c r="T197" i="48"/>
  <c r="S193" i="48"/>
  <c r="T193" i="48"/>
  <c r="S189" i="48"/>
  <c r="T189" i="48"/>
  <c r="S185" i="48"/>
  <c r="T185" i="48"/>
  <c r="S171" i="48"/>
  <c r="T171" i="48"/>
  <c r="U170" i="48"/>
  <c r="T170" i="48"/>
  <c r="S166" i="48"/>
  <c r="U166" i="48"/>
  <c r="T166" i="48"/>
  <c r="S162" i="48"/>
  <c r="U162" i="48"/>
  <c r="T162" i="48"/>
  <c r="S158" i="48"/>
  <c r="U158" i="48"/>
  <c r="T158" i="48"/>
  <c r="S154" i="48"/>
  <c r="U154" i="48"/>
  <c r="T154" i="48"/>
  <c r="S121" i="48"/>
  <c r="U121" i="48"/>
  <c r="U117" i="48"/>
  <c r="S117" i="48"/>
  <c r="U116" i="48"/>
  <c r="S116" i="48"/>
  <c r="S115" i="48"/>
  <c r="U115" i="48"/>
  <c r="S56" i="48"/>
  <c r="U56" i="48"/>
  <c r="S55" i="48"/>
  <c r="U55" i="48"/>
  <c r="S54" i="48"/>
  <c r="U54" i="48"/>
  <c r="S46" i="48"/>
  <c r="T46" i="48"/>
  <c r="S42" i="48"/>
  <c r="T42" i="48"/>
  <c r="S38" i="48"/>
  <c r="T38" i="48"/>
  <c r="S34" i="48"/>
  <c r="T34" i="48"/>
  <c r="U30" i="48"/>
  <c r="U28" i="48"/>
  <c r="U20" i="48"/>
  <c r="AA20" i="48" s="1"/>
  <c r="AB20" i="48" s="1"/>
  <c r="S19" i="48"/>
  <c r="AA19" i="48" s="1"/>
  <c r="AB19" i="48" s="1"/>
  <c r="U22" i="48"/>
  <c r="U12" i="48"/>
  <c r="S12" i="48"/>
  <c r="T12" i="48"/>
  <c r="U11" i="48"/>
  <c r="S11" i="48"/>
  <c r="T11" i="48"/>
  <c r="S199" i="48"/>
  <c r="T199" i="48"/>
  <c r="S195" i="48"/>
  <c r="T195" i="48"/>
  <c r="S191" i="48"/>
  <c r="T191" i="48"/>
  <c r="S187" i="48"/>
  <c r="T187" i="48"/>
  <c r="S183" i="48"/>
  <c r="T183" i="48"/>
  <c r="T182" i="48"/>
  <c r="U182" i="48"/>
  <c r="S182" i="48"/>
  <c r="S181" i="48"/>
  <c r="T181" i="48"/>
  <c r="T180" i="48"/>
  <c r="U180" i="48"/>
  <c r="S180" i="48"/>
  <c r="S179" i="48"/>
  <c r="T179" i="48"/>
  <c r="T178" i="48"/>
  <c r="U178" i="48"/>
  <c r="S178" i="48"/>
  <c r="S177" i="48"/>
  <c r="T177" i="48"/>
  <c r="T176" i="48"/>
  <c r="U176" i="48"/>
  <c r="S176" i="48"/>
  <c r="S175" i="48"/>
  <c r="T175" i="48"/>
  <c r="T174" i="48"/>
  <c r="U174" i="48"/>
  <c r="S174" i="48"/>
  <c r="S173" i="48"/>
  <c r="T173" i="48"/>
  <c r="S168" i="48"/>
  <c r="U168" i="48"/>
  <c r="T168" i="48"/>
  <c r="S164" i="48"/>
  <c r="U164" i="48"/>
  <c r="T164" i="48"/>
  <c r="S160" i="48"/>
  <c r="U160" i="48"/>
  <c r="T160" i="48"/>
  <c r="S156" i="48"/>
  <c r="U156" i="48"/>
  <c r="T156" i="48"/>
  <c r="S152" i="48"/>
  <c r="U152" i="48"/>
  <c r="T152" i="48"/>
  <c r="T151" i="48"/>
  <c r="S151" i="48"/>
  <c r="U150" i="48"/>
  <c r="S150" i="48"/>
  <c r="T150" i="48"/>
  <c r="T149" i="48"/>
  <c r="S149" i="48"/>
  <c r="U148" i="48"/>
  <c r="S148" i="48"/>
  <c r="T148" i="48"/>
  <c r="T147" i="48"/>
  <c r="S147" i="48"/>
  <c r="U146" i="48"/>
  <c r="S146" i="48"/>
  <c r="T146" i="48"/>
  <c r="T145" i="48"/>
  <c r="S145" i="48"/>
  <c r="U144" i="48"/>
  <c r="S144" i="48"/>
  <c r="T144" i="48"/>
  <c r="T143" i="48"/>
  <c r="S143" i="48"/>
  <c r="U142" i="48"/>
  <c r="S142" i="48"/>
  <c r="T142" i="48"/>
  <c r="T141" i="48"/>
  <c r="S141" i="48"/>
  <c r="U140" i="48"/>
  <c r="S140" i="48"/>
  <c r="T140" i="48"/>
  <c r="T139" i="48"/>
  <c r="S139" i="48"/>
  <c r="U138" i="48"/>
  <c r="S138" i="48"/>
  <c r="T138" i="48"/>
  <c r="T137" i="48"/>
  <c r="S137" i="48"/>
  <c r="U136" i="48"/>
  <c r="S136" i="48"/>
  <c r="T136" i="48"/>
  <c r="T135" i="48"/>
  <c r="S135" i="48"/>
  <c r="U134" i="48"/>
  <c r="S134" i="48"/>
  <c r="T134" i="48"/>
  <c r="T133" i="48"/>
  <c r="S133" i="48"/>
  <c r="U132" i="48"/>
  <c r="S132" i="48"/>
  <c r="T131" i="48"/>
  <c r="S131" i="48"/>
  <c r="S129" i="48"/>
  <c r="U129" i="48"/>
  <c r="S128" i="48"/>
  <c r="U128" i="48"/>
  <c r="U125" i="48"/>
  <c r="S125" i="48"/>
  <c r="U124" i="48"/>
  <c r="S124" i="48"/>
  <c r="S123" i="48"/>
  <c r="U123" i="48"/>
  <c r="S113" i="48"/>
  <c r="U113" i="48"/>
  <c r="S112" i="48"/>
  <c r="U112" i="48"/>
  <c r="U109" i="48"/>
  <c r="S109" i="48"/>
  <c r="U108" i="48"/>
  <c r="S108" i="48"/>
  <c r="S105" i="48"/>
  <c r="U105" i="48"/>
  <c r="S104" i="48"/>
  <c r="U104" i="48"/>
  <c r="S103" i="48"/>
  <c r="U103" i="48"/>
  <c r="T82" i="48"/>
  <c r="S82" i="48"/>
  <c r="S81" i="48"/>
  <c r="T81" i="48"/>
  <c r="T80" i="48"/>
  <c r="S80" i="48"/>
  <c r="S79" i="48"/>
  <c r="T79" i="48"/>
  <c r="T78" i="48"/>
  <c r="S78" i="48"/>
  <c r="S61" i="48"/>
  <c r="U61" i="48"/>
  <c r="S44" i="48"/>
  <c r="T44" i="48"/>
  <c r="S40" i="48"/>
  <c r="T40" i="48"/>
  <c r="S36" i="48"/>
  <c r="T36" i="48"/>
  <c r="S32" i="48"/>
  <c r="T32" i="48"/>
  <c r="J50" i="53"/>
  <c r="F16" i="29" s="1"/>
  <c r="B21" i="30"/>
  <c r="D173" i="40"/>
  <c r="F12" i="26"/>
  <c r="F18" i="26" s="1"/>
  <c r="D18" i="26"/>
  <c r="D35" i="40"/>
  <c r="BC21" i="40"/>
  <c r="BC29" i="40" s="1"/>
  <c r="AA35" i="48" l="1"/>
  <c r="AB35" i="48" s="1"/>
  <c r="F15" i="29"/>
  <c r="J67" i="53"/>
  <c r="J88" i="53" s="1"/>
  <c r="D13" i="28"/>
  <c r="BI126" i="40"/>
  <c r="L14" i="40"/>
  <c r="L10" i="40"/>
  <c r="L18" i="40" s="1"/>
  <c r="AA22" i="48"/>
  <c r="AB22" i="48" s="1"/>
  <c r="B1079" i="42"/>
  <c r="F33" i="40" s="1"/>
  <c r="H29" i="40"/>
  <c r="BI134" i="40"/>
  <c r="X70" i="47"/>
  <c r="E17" i="29"/>
  <c r="E21" i="29" s="1"/>
  <c r="E23" i="29" s="1"/>
  <c r="BI115" i="40"/>
  <c r="AA159" i="48"/>
  <c r="AB159" i="48" s="1"/>
  <c r="E186" i="53"/>
  <c r="I78" i="37"/>
  <c r="D20" i="32" s="1"/>
  <c r="E17" i="44"/>
  <c r="D18" i="44"/>
  <c r="D19" i="44" s="1"/>
  <c r="D20" i="44" s="1"/>
  <c r="D21" i="44" s="1"/>
  <c r="D22" i="44" s="1"/>
  <c r="D23" i="44" s="1"/>
  <c r="D24" i="44" s="1"/>
  <c r="D25" i="44" s="1"/>
  <c r="D26" i="44" s="1"/>
  <c r="D27" i="44" s="1"/>
  <c r="D28" i="44" s="1"/>
  <c r="D29" i="44" s="1"/>
  <c r="D30" i="44" s="1"/>
  <c r="D31" i="44" s="1"/>
  <c r="D32" i="44" s="1"/>
  <c r="D33" i="44" s="1"/>
  <c r="D34" i="44" s="1"/>
  <c r="D35" i="44" s="1"/>
  <c r="D36" i="44" s="1"/>
  <c r="D37" i="44" s="1"/>
  <c r="D38" i="44" s="1"/>
  <c r="D39" i="44" s="1"/>
  <c r="D40" i="44" s="1"/>
  <c r="D41" i="44" s="1"/>
  <c r="D42" i="44" s="1"/>
  <c r="D43" i="44" s="1"/>
  <c r="D44" i="44" s="1"/>
  <c r="D45" i="44" s="1"/>
  <c r="D46" i="44" s="1"/>
  <c r="D47" i="44" s="1"/>
  <c r="H23" i="53"/>
  <c r="BI42" i="40"/>
  <c r="C21" i="30"/>
  <c r="N21" i="30" s="1"/>
  <c r="H50" i="53"/>
  <c r="H67" i="53" s="1"/>
  <c r="H88" i="53" s="1"/>
  <c r="H184" i="53" s="1"/>
  <c r="AA196" i="48"/>
  <c r="AB196" i="48" s="1"/>
  <c r="X34" i="47"/>
  <c r="H65" i="53"/>
  <c r="BI139" i="40"/>
  <c r="D14" i="31"/>
  <c r="D18" i="31" s="1"/>
  <c r="D20" i="31" s="1"/>
  <c r="AN18" i="40"/>
  <c r="J18" i="40"/>
  <c r="J21" i="40" s="1"/>
  <c r="J29" i="40" s="1"/>
  <c r="E562" i="5"/>
  <c r="BI190" i="40"/>
  <c r="BI173" i="40"/>
  <c r="BI36" i="40"/>
  <c r="AA192" i="48"/>
  <c r="AB192" i="48" s="1"/>
  <c r="G17" i="29"/>
  <c r="G21" i="29" s="1"/>
  <c r="G23" i="29" s="1"/>
  <c r="I51" i="55"/>
  <c r="I46" i="12"/>
  <c r="B1079" i="4"/>
  <c r="D33" i="40" s="1"/>
  <c r="BE176" i="40"/>
  <c r="AD176" i="40"/>
  <c r="AD188" i="40" s="1"/>
  <c r="AA66" i="48"/>
  <c r="AB66" i="48" s="1"/>
  <c r="AW48" i="40"/>
  <c r="AW156" i="40" s="1"/>
  <c r="BI132" i="40"/>
  <c r="BI161" i="40"/>
  <c r="F18" i="31"/>
  <c r="F20" i="31" s="1"/>
  <c r="X93" i="47"/>
  <c r="D186" i="40"/>
  <c r="BI186" i="40" s="1"/>
  <c r="BI184" i="40"/>
  <c r="BI130" i="40"/>
  <c r="BI51" i="40"/>
  <c r="H188" i="40"/>
  <c r="H192" i="40" s="1"/>
  <c r="BI44" i="40"/>
  <c r="BI47" i="40"/>
  <c r="BI90" i="40"/>
  <c r="BI99" i="40"/>
  <c r="BI109" i="40"/>
  <c r="BI118" i="40"/>
  <c r="BI143" i="40"/>
  <c r="BI164" i="40"/>
  <c r="BI38" i="40"/>
  <c r="BI7" i="40"/>
  <c r="BI25" i="40"/>
  <c r="BI54" i="40"/>
  <c r="BI56" i="40"/>
  <c r="BI63" i="40"/>
  <c r="BI65" i="40"/>
  <c r="BI73" i="40"/>
  <c r="BI80" i="40"/>
  <c r="BI82" i="40"/>
  <c r="BI88" i="40"/>
  <c r="BI100" i="40"/>
  <c r="BI27" i="40"/>
  <c r="BI23" i="40"/>
  <c r="BI78" i="40"/>
  <c r="BI95" i="40"/>
  <c r="BI181" i="40"/>
  <c r="AA118" i="48"/>
  <c r="AB118" i="48" s="1"/>
  <c r="AJ176" i="40"/>
  <c r="AJ188" i="40" s="1"/>
  <c r="AJ192" i="40" s="1"/>
  <c r="BI35" i="40"/>
  <c r="AA28" i="48"/>
  <c r="AB28" i="48" s="1"/>
  <c r="BI37" i="40"/>
  <c r="BI60" i="40"/>
  <c r="L21" i="29"/>
  <c r="L23" i="29" s="1"/>
  <c r="AH21" i="40"/>
  <c r="AH29" i="40" s="1"/>
  <c r="AH192" i="40" s="1"/>
  <c r="AD192" i="40"/>
  <c r="AP39" i="40"/>
  <c r="AP176" i="40" s="1"/>
  <c r="AP188" i="40" s="1"/>
  <c r="AP192" i="40" s="1"/>
  <c r="AU39" i="40"/>
  <c r="AU176" i="40" s="1"/>
  <c r="AL39" i="40"/>
  <c r="AL176" i="40" s="1"/>
  <c r="AL188" i="40" s="1"/>
  <c r="AJ18" i="40"/>
  <c r="AJ21" i="40" s="1"/>
  <c r="AJ29" i="40" s="1"/>
  <c r="BI46" i="40"/>
  <c r="BI71" i="40"/>
  <c r="BI97" i="40"/>
  <c r="BI108" i="40"/>
  <c r="BI117" i="40"/>
  <c r="BI124" i="40"/>
  <c r="BI127" i="40"/>
  <c r="BI133" i="40"/>
  <c r="BI135" i="40"/>
  <c r="BI163" i="40"/>
  <c r="BI12" i="40"/>
  <c r="BI53" i="40"/>
  <c r="BI55" i="40"/>
  <c r="BI62" i="40"/>
  <c r="BI64" i="40"/>
  <c r="BI74" i="40"/>
  <c r="BI81" i="40"/>
  <c r="BI83" i="40"/>
  <c r="BI91" i="40"/>
  <c r="BI106" i="40"/>
  <c r="BI125" i="40"/>
  <c r="BI144" i="40"/>
  <c r="AA62" i="48"/>
  <c r="AB62" i="48" s="1"/>
  <c r="AA102" i="48"/>
  <c r="AB102" i="48" s="1"/>
  <c r="BI86" i="40"/>
  <c r="AA186" i="48"/>
  <c r="AB186" i="48" s="1"/>
  <c r="AA107" i="48"/>
  <c r="AB107" i="48" s="1"/>
  <c r="C31" i="27"/>
  <c r="G38" i="23"/>
  <c r="I63" i="21"/>
  <c r="C27" i="24" s="1"/>
  <c r="AL192" i="40"/>
  <c r="X176" i="40"/>
  <c r="X188" i="40" s="1"/>
  <c r="N188" i="40"/>
  <c r="AA78" i="48"/>
  <c r="AB78" i="48" s="1"/>
  <c r="AA80" i="48"/>
  <c r="AB80" i="48" s="1"/>
  <c r="AA82" i="48"/>
  <c r="AB82" i="48" s="1"/>
  <c r="AA108" i="48"/>
  <c r="AB108" i="48" s="1"/>
  <c r="AA109" i="48"/>
  <c r="AB109" i="48" s="1"/>
  <c r="AA124" i="48"/>
  <c r="AB124" i="48" s="1"/>
  <c r="AA125" i="48"/>
  <c r="AB125" i="48" s="1"/>
  <c r="AA131" i="48"/>
  <c r="AB131" i="48" s="1"/>
  <c r="AA132" i="48"/>
  <c r="AB132" i="48" s="1"/>
  <c r="AA133" i="48"/>
  <c r="AB133" i="48" s="1"/>
  <c r="AA137" i="48"/>
  <c r="AB137" i="48" s="1"/>
  <c r="AA141" i="48"/>
  <c r="AB141" i="48" s="1"/>
  <c r="AA145" i="48"/>
  <c r="AB145" i="48" s="1"/>
  <c r="AA149" i="48"/>
  <c r="AB149" i="48" s="1"/>
  <c r="AA174" i="48"/>
  <c r="AB174" i="48" s="1"/>
  <c r="AA178" i="48"/>
  <c r="AB178" i="48" s="1"/>
  <c r="AA182" i="48"/>
  <c r="AB182" i="48" s="1"/>
  <c r="AA30" i="48"/>
  <c r="AB30" i="48" s="1"/>
  <c r="AA170" i="48"/>
  <c r="AB170" i="48" s="1"/>
  <c r="C83" i="24"/>
  <c r="C84" i="24" s="1"/>
  <c r="C85" i="24" s="1"/>
  <c r="BE188" i="40"/>
  <c r="BE192" i="40" s="1"/>
  <c r="BC176" i="40"/>
  <c r="BC188" i="40" s="1"/>
  <c r="BC192" i="40" s="1"/>
  <c r="AA37" i="48"/>
  <c r="AB37" i="48" s="1"/>
  <c r="AA39" i="48"/>
  <c r="AB39" i="48" s="1"/>
  <c r="AA41" i="48"/>
  <c r="AB41" i="48" s="1"/>
  <c r="AA43" i="48"/>
  <c r="AB43" i="48" s="1"/>
  <c r="AA45" i="48"/>
  <c r="AB45" i="48" s="1"/>
  <c r="AA92" i="48"/>
  <c r="AB92" i="48" s="1"/>
  <c r="AA153" i="48"/>
  <c r="AB153" i="48" s="1"/>
  <c r="AA188" i="48"/>
  <c r="AB188" i="48" s="1"/>
  <c r="AA33" i="48"/>
  <c r="AB33" i="48" s="1"/>
  <c r="AA59" i="48"/>
  <c r="AB59" i="48" s="1"/>
  <c r="AA96" i="48"/>
  <c r="AB96" i="48" s="1"/>
  <c r="AA114" i="48"/>
  <c r="AB114" i="48" s="1"/>
  <c r="AA126" i="48"/>
  <c r="AB126" i="48" s="1"/>
  <c r="AA157" i="48"/>
  <c r="AB157" i="48" s="1"/>
  <c r="AA184" i="48"/>
  <c r="AB184" i="48" s="1"/>
  <c r="AA200" i="48"/>
  <c r="AB200" i="48" s="1"/>
  <c r="X14" i="47"/>
  <c r="X93" i="52"/>
  <c r="C116" i="24" s="1"/>
  <c r="C117" i="24" s="1"/>
  <c r="C118" i="24" s="1"/>
  <c r="G8" i="32"/>
  <c r="G11" i="32" s="1"/>
  <c r="G22" i="32" s="1"/>
  <c r="G24" i="32" s="1"/>
  <c r="I49" i="39"/>
  <c r="I58" i="39" s="1"/>
  <c r="AP21" i="40"/>
  <c r="AP29" i="40" s="1"/>
  <c r="L26" i="30"/>
  <c r="N26" i="30" s="1"/>
  <c r="B14" i="28" s="1"/>
  <c r="D14" i="28" s="1"/>
  <c r="I47" i="17"/>
  <c r="K17" i="29"/>
  <c r="K21" i="29" s="1"/>
  <c r="K23" i="29" s="1"/>
  <c r="I43" i="14"/>
  <c r="I45" i="14" s="1"/>
  <c r="C20" i="24" s="1"/>
  <c r="B24" i="27"/>
  <c r="G18" i="31"/>
  <c r="G20" i="31" s="1"/>
  <c r="F12" i="32"/>
  <c r="C29" i="27"/>
  <c r="G35" i="23"/>
  <c r="I45" i="18"/>
  <c r="M12" i="30"/>
  <c r="M18" i="30" s="1"/>
  <c r="M22" i="30" s="1"/>
  <c r="M24" i="30" s="1"/>
  <c r="I50" i="20"/>
  <c r="I59" i="20" s="1"/>
  <c r="H16" i="31"/>
  <c r="H20" i="32"/>
  <c r="B22" i="32"/>
  <c r="B24" i="32" s="1"/>
  <c r="B17" i="27"/>
  <c r="I70" i="8"/>
  <c r="J55" i="7"/>
  <c r="H65" i="7"/>
  <c r="J97" i="53"/>
  <c r="J110" i="53" s="1"/>
  <c r="H110" i="53"/>
  <c r="J115" i="53"/>
  <c r="J136" i="53" s="1"/>
  <c r="H136" i="53"/>
  <c r="C24" i="27"/>
  <c r="G28" i="23"/>
  <c r="I53" i="13"/>
  <c r="B20" i="27"/>
  <c r="I72" i="11"/>
  <c r="X18" i="40"/>
  <c r="X21" i="40" s="1"/>
  <c r="X29" i="40" s="1"/>
  <c r="N18" i="40"/>
  <c r="N21" i="40" s="1"/>
  <c r="N29" i="40" s="1"/>
  <c r="D17" i="29"/>
  <c r="D21" i="29" s="1"/>
  <c r="D23" i="29" s="1"/>
  <c r="I71" i="6"/>
  <c r="I81" i="6" s="1"/>
  <c r="D10" i="40"/>
  <c r="B13" i="29"/>
  <c r="B17" i="29" s="1"/>
  <c r="B21" i="29" s="1"/>
  <c r="B23" i="29" s="1"/>
  <c r="I100" i="3"/>
  <c r="I102" i="3" s="1"/>
  <c r="I110" i="3" s="1"/>
  <c r="B10" i="27" s="1"/>
  <c r="AA70" i="48"/>
  <c r="AB70" i="48" s="1"/>
  <c r="AA58" i="48"/>
  <c r="AB58" i="48" s="1"/>
  <c r="AA74" i="48"/>
  <c r="AB74" i="48" s="1"/>
  <c r="AA111" i="48"/>
  <c r="AB111" i="48" s="1"/>
  <c r="AA190" i="48"/>
  <c r="AB190" i="48" s="1"/>
  <c r="AW176" i="40"/>
  <c r="AW188" i="40" s="1"/>
  <c r="AW192" i="40" s="1"/>
  <c r="V188" i="40"/>
  <c r="V192" i="40" s="1"/>
  <c r="B30" i="27"/>
  <c r="I62" i="20"/>
  <c r="B29" i="27"/>
  <c r="I52" i="19"/>
  <c r="I54" i="19" s="1"/>
  <c r="C25" i="24" s="1"/>
  <c r="B28" i="27"/>
  <c r="I48" i="18"/>
  <c r="AU188" i="40"/>
  <c r="AU192" i="40" s="1"/>
  <c r="B26" i="27"/>
  <c r="I60" i="16"/>
  <c r="B25" i="27"/>
  <c r="I93" i="37"/>
  <c r="D8" i="32"/>
  <c r="I80" i="37"/>
  <c r="I90" i="37" s="1"/>
  <c r="I54" i="22"/>
  <c r="AN21" i="40"/>
  <c r="AN29" i="40" s="1"/>
  <c r="H10" i="31"/>
  <c r="H14" i="31" s="1"/>
  <c r="E14" i="31"/>
  <c r="E18" i="31" s="1"/>
  <c r="E20" i="31" s="1"/>
  <c r="C19" i="27"/>
  <c r="I52" i="10"/>
  <c r="C15" i="24" s="1"/>
  <c r="G23" i="23"/>
  <c r="I17" i="29"/>
  <c r="I21" i="29" s="1"/>
  <c r="I23" i="29" s="1"/>
  <c r="J10" i="7"/>
  <c r="H23" i="7"/>
  <c r="J29" i="7"/>
  <c r="H50" i="7"/>
  <c r="AF18" i="40"/>
  <c r="AF21" i="40" s="1"/>
  <c r="AF29" i="40" s="1"/>
  <c r="AF192" i="40" s="1"/>
  <c r="J17" i="29"/>
  <c r="J21" i="29" s="1"/>
  <c r="J23" i="29" s="1"/>
  <c r="J8" i="30"/>
  <c r="J11" i="30" s="1"/>
  <c r="I59" i="11"/>
  <c r="I69" i="11" s="1"/>
  <c r="I51" i="54"/>
  <c r="B18" i="27"/>
  <c r="J97" i="7"/>
  <c r="J110" i="7" s="1"/>
  <c r="H110" i="7"/>
  <c r="J115" i="7"/>
  <c r="J136" i="7" s="1"/>
  <c r="H136" i="7"/>
  <c r="N14" i="29"/>
  <c r="F14" i="40"/>
  <c r="C15" i="29"/>
  <c r="N18" i="29"/>
  <c r="B10" i="28" s="1"/>
  <c r="D10" i="28" s="1"/>
  <c r="C12" i="27"/>
  <c r="G15" i="23"/>
  <c r="I54" i="9"/>
  <c r="C8" i="24" s="1"/>
  <c r="F10" i="40"/>
  <c r="F18" i="40" s="1"/>
  <c r="F21" i="40" s="1"/>
  <c r="F29" i="40" s="1"/>
  <c r="C13" i="29"/>
  <c r="I98" i="43"/>
  <c r="I100" i="43" s="1"/>
  <c r="I108" i="43" s="1"/>
  <c r="B11" i="27" s="1"/>
  <c r="N20" i="29"/>
  <c r="B9" i="28" s="1"/>
  <c r="D9" i="28" s="1"/>
  <c r="AA86" i="48"/>
  <c r="AB86" i="48" s="1"/>
  <c r="AA94" i="48"/>
  <c r="AB94" i="48" s="1"/>
  <c r="AA172" i="48"/>
  <c r="AB172" i="48" s="1"/>
  <c r="AA198" i="48"/>
  <c r="AB198" i="48" s="1"/>
  <c r="I28" i="34"/>
  <c r="J33" i="40" s="1"/>
  <c r="C105" i="24"/>
  <c r="C106" i="24" s="1"/>
  <c r="C107" i="24" s="1"/>
  <c r="C160" i="24"/>
  <c r="C161" i="24" s="1"/>
  <c r="C162" i="24" s="1"/>
  <c r="I32" i="16"/>
  <c r="AN122" i="40" s="1"/>
  <c r="BI122" i="40" s="1"/>
  <c r="C149" i="24"/>
  <c r="C150" i="24" s="1"/>
  <c r="C151" i="24" s="1"/>
  <c r="I25" i="54"/>
  <c r="T33" i="40" s="1"/>
  <c r="I29" i="8"/>
  <c r="R33" i="40" s="1"/>
  <c r="C138" i="24"/>
  <c r="C139" i="24" s="1"/>
  <c r="C140" i="24" s="1"/>
  <c r="AA120" i="48"/>
  <c r="AB120" i="48" s="1"/>
  <c r="AA57" i="48"/>
  <c r="AB57" i="48" s="1"/>
  <c r="AA69" i="48"/>
  <c r="AB69" i="48" s="1"/>
  <c r="AA77" i="48"/>
  <c r="AB77" i="48" s="1"/>
  <c r="AA67" i="48"/>
  <c r="AB67" i="48" s="1"/>
  <c r="AA75" i="48"/>
  <c r="AB75" i="48" s="1"/>
  <c r="AA135" i="48"/>
  <c r="AB135" i="48" s="1"/>
  <c r="AA139" i="48"/>
  <c r="AB139" i="48" s="1"/>
  <c r="AA143" i="48"/>
  <c r="AB143" i="48" s="1"/>
  <c r="AA147" i="48"/>
  <c r="AB147" i="48" s="1"/>
  <c r="AA151" i="48"/>
  <c r="AB151" i="48" s="1"/>
  <c r="AA176" i="48"/>
  <c r="AB176" i="48" s="1"/>
  <c r="AA180" i="48"/>
  <c r="AB180" i="48" s="1"/>
  <c r="AA116" i="48"/>
  <c r="AB116" i="48" s="1"/>
  <c r="AA117" i="48"/>
  <c r="AB117" i="48" s="1"/>
  <c r="AA15" i="48"/>
  <c r="AB15" i="48" s="1"/>
  <c r="C94" i="24"/>
  <c r="C95" i="24" s="1"/>
  <c r="C96" i="24" s="1"/>
  <c r="D7" i="28"/>
  <c r="AA47" i="48"/>
  <c r="AB47" i="48" s="1"/>
  <c r="AA49" i="48"/>
  <c r="AB49" i="48" s="1"/>
  <c r="AA51" i="48"/>
  <c r="AB51" i="48" s="1"/>
  <c r="AA53" i="48"/>
  <c r="AB53" i="48" s="1"/>
  <c r="AA65" i="48"/>
  <c r="AB65" i="48" s="1"/>
  <c r="AA73" i="48"/>
  <c r="AB73" i="48" s="1"/>
  <c r="AA84" i="48"/>
  <c r="AB84" i="48" s="1"/>
  <c r="AA100" i="48"/>
  <c r="AB100" i="48" s="1"/>
  <c r="AA110" i="48"/>
  <c r="AB110" i="48" s="1"/>
  <c r="AA119" i="48"/>
  <c r="AB119" i="48" s="1"/>
  <c r="AA161" i="48"/>
  <c r="AB161" i="48" s="1"/>
  <c r="AA169" i="48"/>
  <c r="AB169" i="48" s="1"/>
  <c r="AA63" i="48"/>
  <c r="AB63" i="48" s="1"/>
  <c r="AA71" i="48"/>
  <c r="AB71" i="48" s="1"/>
  <c r="AA88" i="48"/>
  <c r="AB88" i="48" s="1"/>
  <c r="AA106" i="48"/>
  <c r="AB106" i="48" s="1"/>
  <c r="AA122" i="48"/>
  <c r="AB122" i="48" s="1"/>
  <c r="AA165" i="48"/>
  <c r="AB165" i="48" s="1"/>
  <c r="AA13" i="48"/>
  <c r="AB13" i="48" s="1"/>
  <c r="AA23" i="48"/>
  <c r="AB23" i="48" s="1"/>
  <c r="AA17" i="48"/>
  <c r="AB17" i="48" s="1"/>
  <c r="AA29" i="48"/>
  <c r="AB29" i="48" s="1"/>
  <c r="AA25" i="48"/>
  <c r="AB25" i="48" s="1"/>
  <c r="AA27" i="48"/>
  <c r="AB27" i="48" s="1"/>
  <c r="B14" i="27"/>
  <c r="J184" i="53"/>
  <c r="F17" i="29"/>
  <c r="AA11" i="48"/>
  <c r="S9" i="48"/>
  <c r="R29" i="40"/>
  <c r="D174" i="40"/>
  <c r="BI174" i="40" s="1"/>
  <c r="AA32" i="48"/>
  <c r="AB32" i="48" s="1"/>
  <c r="AA36" i="48"/>
  <c r="AB36" i="48" s="1"/>
  <c r="AA40" i="48"/>
  <c r="AB40" i="48" s="1"/>
  <c r="AA44" i="48"/>
  <c r="AB44" i="48" s="1"/>
  <c r="AA61" i="48"/>
  <c r="AB61" i="48" s="1"/>
  <c r="AA79" i="48"/>
  <c r="AB79" i="48" s="1"/>
  <c r="AA81" i="48"/>
  <c r="AB81" i="48" s="1"/>
  <c r="AA103" i="48"/>
  <c r="AB103" i="48" s="1"/>
  <c r="AA104" i="48"/>
  <c r="AB104" i="48" s="1"/>
  <c r="AA105" i="48"/>
  <c r="AB105" i="48" s="1"/>
  <c r="AA112" i="48"/>
  <c r="AB112" i="48" s="1"/>
  <c r="AA113" i="48"/>
  <c r="AB113" i="48" s="1"/>
  <c r="AA123" i="48"/>
  <c r="AB123" i="48" s="1"/>
  <c r="AA128" i="48"/>
  <c r="AB128" i="48" s="1"/>
  <c r="AA129" i="48"/>
  <c r="AB129" i="48" s="1"/>
  <c r="AA134" i="48"/>
  <c r="AB134" i="48" s="1"/>
  <c r="AA136" i="48"/>
  <c r="AB136" i="48" s="1"/>
  <c r="AA138" i="48"/>
  <c r="AB138" i="48" s="1"/>
  <c r="AA140" i="48"/>
  <c r="AB140" i="48" s="1"/>
  <c r="AA142" i="48"/>
  <c r="AB142" i="48" s="1"/>
  <c r="AA144" i="48"/>
  <c r="AB144" i="48" s="1"/>
  <c r="AA146" i="48"/>
  <c r="AB146" i="48" s="1"/>
  <c r="AA148" i="48"/>
  <c r="AB148" i="48" s="1"/>
  <c r="AA150" i="48"/>
  <c r="AB150" i="48" s="1"/>
  <c r="AA152" i="48"/>
  <c r="AB152" i="48" s="1"/>
  <c r="AA156" i="48"/>
  <c r="AB156" i="48" s="1"/>
  <c r="AA160" i="48"/>
  <c r="AB160" i="48" s="1"/>
  <c r="AA164" i="48"/>
  <c r="AB164" i="48" s="1"/>
  <c r="AA168" i="48"/>
  <c r="AB168" i="48" s="1"/>
  <c r="AA173" i="48"/>
  <c r="AB173" i="48" s="1"/>
  <c r="AA175" i="48"/>
  <c r="AB175" i="48" s="1"/>
  <c r="AA177" i="48"/>
  <c r="AB177" i="48" s="1"/>
  <c r="AA179" i="48"/>
  <c r="AB179" i="48" s="1"/>
  <c r="AA181" i="48"/>
  <c r="AB181" i="48" s="1"/>
  <c r="AA183" i="48"/>
  <c r="AB183" i="48" s="1"/>
  <c r="AA187" i="48"/>
  <c r="AB187" i="48" s="1"/>
  <c r="AA191" i="48"/>
  <c r="AB191" i="48" s="1"/>
  <c r="AA195" i="48"/>
  <c r="AB195" i="48" s="1"/>
  <c r="AA199" i="48"/>
  <c r="AB199" i="48" s="1"/>
  <c r="T9" i="48"/>
  <c r="U9" i="48"/>
  <c r="AA12" i="48"/>
  <c r="AB12" i="48" s="1"/>
  <c r="AA34" i="48"/>
  <c r="AB34" i="48" s="1"/>
  <c r="AA38" i="48"/>
  <c r="AB38" i="48" s="1"/>
  <c r="AA42" i="48"/>
  <c r="AB42" i="48" s="1"/>
  <c r="AA46" i="48"/>
  <c r="AB46" i="48" s="1"/>
  <c r="AA54" i="48"/>
  <c r="AB54" i="48" s="1"/>
  <c r="AA55" i="48"/>
  <c r="AB55" i="48" s="1"/>
  <c r="AA56" i="48"/>
  <c r="AB56" i="48" s="1"/>
  <c r="AA115" i="48"/>
  <c r="AB115" i="48" s="1"/>
  <c r="AA121" i="48"/>
  <c r="AB121" i="48" s="1"/>
  <c r="AA154" i="48"/>
  <c r="AB154" i="48" s="1"/>
  <c r="AA158" i="48"/>
  <c r="AB158" i="48" s="1"/>
  <c r="AA162" i="48"/>
  <c r="AB162" i="48" s="1"/>
  <c r="AA166" i="48"/>
  <c r="AB166" i="48" s="1"/>
  <c r="AA171" i="48"/>
  <c r="AB171" i="48" s="1"/>
  <c r="AA185" i="48"/>
  <c r="AB185" i="48" s="1"/>
  <c r="AA189" i="48"/>
  <c r="AB189" i="48" s="1"/>
  <c r="AA193" i="48"/>
  <c r="AB193" i="48" s="1"/>
  <c r="AA197" i="48"/>
  <c r="AB197" i="48" s="1"/>
  <c r="AA201" i="48"/>
  <c r="AB201" i="48" s="1"/>
  <c r="AA21" i="48"/>
  <c r="AB21" i="48" s="1"/>
  <c r="AA24" i="48"/>
  <c r="AB24" i="48" s="1"/>
  <c r="AA26" i="48"/>
  <c r="AB26" i="48" s="1"/>
  <c r="AA16" i="48"/>
  <c r="AB16" i="48" s="1"/>
  <c r="AA18" i="48"/>
  <c r="AB18" i="48" s="1"/>
  <c r="X54" i="47"/>
  <c r="C127" i="24" l="1"/>
  <c r="C128" i="24" s="1"/>
  <c r="C129" i="24" s="1"/>
  <c r="C21" i="27"/>
  <c r="G25" i="23"/>
  <c r="I51" i="12"/>
  <c r="C17" i="24" s="1"/>
  <c r="C17" i="29"/>
  <c r="C21" i="29" s="1"/>
  <c r="C23" i="29" s="1"/>
  <c r="E18" i="44"/>
  <c r="E19" i="44" s="1"/>
  <c r="E20" i="44" s="1"/>
  <c r="E21" i="44" s="1"/>
  <c r="E22" i="44" s="1"/>
  <c r="E23" i="44" s="1"/>
  <c r="E24" i="44" s="1"/>
  <c r="E25" i="44" s="1"/>
  <c r="E26" i="44" s="1"/>
  <c r="E27" i="44" s="1"/>
  <c r="E28" i="44" s="1"/>
  <c r="E29" i="44" s="1"/>
  <c r="E30" i="44" s="1"/>
  <c r="E31" i="44" s="1"/>
  <c r="E32" i="44" s="1"/>
  <c r="E33" i="44" s="1"/>
  <c r="E34" i="44" s="1"/>
  <c r="E35" i="44" s="1"/>
  <c r="E36" i="44" s="1"/>
  <c r="E37" i="44" s="1"/>
  <c r="E38" i="44" s="1"/>
  <c r="E39" i="44" s="1"/>
  <c r="E40" i="44" s="1"/>
  <c r="E41" i="44" s="1"/>
  <c r="E42" i="44" s="1"/>
  <c r="E43" i="44" s="1"/>
  <c r="E44" i="44" s="1"/>
  <c r="E45" i="44" s="1"/>
  <c r="E46" i="44" s="1"/>
  <c r="E47" i="44" s="1"/>
  <c r="F17" i="44"/>
  <c r="D18" i="40"/>
  <c r="H18" i="31"/>
  <c r="H20" i="31" s="1"/>
  <c r="C8" i="28"/>
  <c r="C11" i="28" s="1"/>
  <c r="D12" i="27"/>
  <c r="I15" i="23"/>
  <c r="G24" i="23"/>
  <c r="C20" i="27"/>
  <c r="I74" i="11"/>
  <c r="C16" i="24" s="1"/>
  <c r="H67" i="7"/>
  <c r="H88" i="7" s="1"/>
  <c r="H184" i="7" s="1"/>
  <c r="C25" i="27"/>
  <c r="G29" i="23"/>
  <c r="I95" i="37"/>
  <c r="C21" i="24" s="1"/>
  <c r="G19" i="23"/>
  <c r="C15" i="27"/>
  <c r="I86" i="6"/>
  <c r="C11" i="24" s="1"/>
  <c r="C32" i="27"/>
  <c r="G39" i="23"/>
  <c r="I63" i="39"/>
  <c r="C28" i="24" s="1"/>
  <c r="N192" i="40"/>
  <c r="D31" i="27"/>
  <c r="I38" i="23"/>
  <c r="J50" i="7"/>
  <c r="H16" i="29" s="1"/>
  <c r="N16" i="29" s="1"/>
  <c r="P16" i="40"/>
  <c r="BI16" i="40" s="1"/>
  <c r="J23" i="7"/>
  <c r="P14" i="40"/>
  <c r="BI14" i="40" s="1"/>
  <c r="D19" i="27"/>
  <c r="I23" i="23"/>
  <c r="H8" i="32"/>
  <c r="D11" i="32"/>
  <c r="C23" i="27"/>
  <c r="G27" i="23"/>
  <c r="I58" i="13"/>
  <c r="C19" i="24" s="1"/>
  <c r="I28" i="23"/>
  <c r="D24" i="27"/>
  <c r="J65" i="7"/>
  <c r="H13" i="29" s="1"/>
  <c r="P10" i="40"/>
  <c r="BI10" i="40" s="1"/>
  <c r="C30" i="27"/>
  <c r="I64" i="20"/>
  <c r="C26" i="24" s="1"/>
  <c r="G37" i="23"/>
  <c r="G34" i="23"/>
  <c r="I50" i="18"/>
  <c r="C24" i="24" s="1"/>
  <c r="C28" i="27"/>
  <c r="D29" i="27"/>
  <c r="I35" i="23"/>
  <c r="F18" i="32"/>
  <c r="F22" i="32" s="1"/>
  <c r="F24" i="32" s="1"/>
  <c r="H12" i="32"/>
  <c r="H18" i="32" s="1"/>
  <c r="C27" i="27"/>
  <c r="G32" i="23"/>
  <c r="I52" i="17"/>
  <c r="C23" i="24" s="1"/>
  <c r="X192" i="40"/>
  <c r="L21" i="40"/>
  <c r="G34" i="16" a="1"/>
  <c r="G34" i="16" s="1"/>
  <c r="G46" i="52" a="1"/>
  <c r="G46" i="52" s="1"/>
  <c r="G52" i="52" s="1"/>
  <c r="G30" i="34" a="1"/>
  <c r="G30" i="34" s="1"/>
  <c r="M36" i="47" a="1"/>
  <c r="M36" i="47" s="1"/>
  <c r="M42" i="47" s="1"/>
  <c r="T36" i="47" a="1"/>
  <c r="T36" i="47" s="1"/>
  <c r="T42" i="47" s="1"/>
  <c r="T46" i="52" a="1"/>
  <c r="T46" i="52" s="1"/>
  <c r="T52" i="52" s="1"/>
  <c r="G13" i="4" a="1"/>
  <c r="G13" i="4" s="1"/>
  <c r="I95" i="52" a="1"/>
  <c r="I95" i="52" s="1"/>
  <c r="I102" i="52" s="1"/>
  <c r="G300" i="42" a="1"/>
  <c r="G300" i="42" s="1"/>
  <c r="V36" i="52" a="1"/>
  <c r="V36" i="52" s="1"/>
  <c r="V42" i="52" s="1"/>
  <c r="G818" i="4" a="1"/>
  <c r="G818" i="4" s="1"/>
  <c r="J16" i="52" a="1"/>
  <c r="J16" i="52" s="1"/>
  <c r="J22" i="52" s="1"/>
  <c r="P16" i="47" a="1"/>
  <c r="P16" i="47" s="1"/>
  <c r="P22" i="47" s="1"/>
  <c r="P46" i="47" a="1"/>
  <c r="P46" i="47" s="1"/>
  <c r="P52" i="47" s="1"/>
  <c r="G389" i="5" a="1"/>
  <c r="G389" i="5" s="1"/>
  <c r="R72" i="47" a="1"/>
  <c r="R72" i="47" s="1"/>
  <c r="R79" i="47" s="1"/>
  <c r="E26" i="47" a="1"/>
  <c r="E26" i="47" s="1"/>
  <c r="E32" i="47" s="1"/>
  <c r="D83" i="47" a="1"/>
  <c r="D83" i="47" s="1"/>
  <c r="F26" i="47" a="1"/>
  <c r="F26" i="47" s="1"/>
  <c r="F32" i="47" s="1"/>
  <c r="N36" i="47" a="1"/>
  <c r="N36" i="47" s="1"/>
  <c r="N42" i="47" s="1"/>
  <c r="O46" i="52" a="1"/>
  <c r="O46" i="52" s="1"/>
  <c r="O52" i="52" s="1"/>
  <c r="G83" i="47" a="1"/>
  <c r="G83" i="47" s="1"/>
  <c r="G89" i="47" s="1"/>
  <c r="G192" i="41" a="1"/>
  <c r="G192" i="41" s="1"/>
  <c r="J56" i="52" a="1"/>
  <c r="J56" i="52" s="1"/>
  <c r="J62" i="52" s="1"/>
  <c r="O46" i="47" a="1"/>
  <c r="O46" i="47" s="1"/>
  <c r="O52" i="47" s="1"/>
  <c r="Q95" i="47" a="1"/>
  <c r="Q95" i="47" s="1"/>
  <c r="Q102" i="47" s="1"/>
  <c r="G49" i="41" a="1"/>
  <c r="G49" i="41" s="1"/>
  <c r="U72" i="52" a="1"/>
  <c r="U72" i="52" s="1"/>
  <c r="U79" i="52" s="1"/>
  <c r="E95" i="47" a="1"/>
  <c r="E95" i="47" s="1"/>
  <c r="E102" i="47" s="1"/>
  <c r="R83" i="47" a="1"/>
  <c r="R83" i="47" s="1"/>
  <c r="R89" i="47" s="1"/>
  <c r="G358" i="41" a="1"/>
  <c r="G358" i="41" s="1"/>
  <c r="L83" i="52" a="1"/>
  <c r="L83" i="52" s="1"/>
  <c r="L89" i="52" s="1"/>
  <c r="G1040" i="42" a="1"/>
  <c r="G1040" i="42" s="1"/>
  <c r="I36" i="52" a="1"/>
  <c r="I36" i="52" s="1"/>
  <c r="I42" i="52" s="1"/>
  <c r="C109" i="24" a="1"/>
  <c r="C109" i="24" s="1"/>
  <c r="T36" i="52" a="1"/>
  <c r="T36" i="52" s="1"/>
  <c r="T42" i="52" s="1"/>
  <c r="N26" i="47" a="1"/>
  <c r="N26" i="47" s="1"/>
  <c r="N32" i="47" s="1"/>
  <c r="S46" i="47" a="1"/>
  <c r="S46" i="47" s="1"/>
  <c r="S52" i="47" s="1"/>
  <c r="M95" i="47" a="1"/>
  <c r="M95" i="47" s="1"/>
  <c r="M102" i="47" s="1"/>
  <c r="R46" i="52" a="1"/>
  <c r="R46" i="52" s="1"/>
  <c r="R52" i="52" s="1"/>
  <c r="P36" i="47" a="1"/>
  <c r="P36" i="47" s="1"/>
  <c r="P42" i="47" s="1"/>
  <c r="V46" i="52" a="1"/>
  <c r="V46" i="52" s="1"/>
  <c r="V52" i="52" s="1"/>
  <c r="G1040" i="4" a="1"/>
  <c r="G1040" i="4" s="1"/>
  <c r="V16" i="52" a="1"/>
  <c r="V16" i="52" s="1"/>
  <c r="V22" i="52" s="1"/>
  <c r="M26" i="47" a="1"/>
  <c r="M26" i="47" s="1"/>
  <c r="M32" i="47" s="1"/>
  <c r="I26" i="52" a="1"/>
  <c r="I26" i="52" s="1"/>
  <c r="I32" i="52" s="1"/>
  <c r="J72" i="52" a="1"/>
  <c r="J72" i="52" s="1"/>
  <c r="J79" i="52" s="1"/>
  <c r="L16" i="47" a="1"/>
  <c r="L16" i="47" s="1"/>
  <c r="L22" i="47" s="1"/>
  <c r="R46" i="47" a="1"/>
  <c r="R46" i="47" s="1"/>
  <c r="R52" i="47" s="1"/>
  <c r="U83" i="47" a="1"/>
  <c r="U83" i="47" s="1"/>
  <c r="U89" i="47" s="1"/>
  <c r="S56" i="47" a="1"/>
  <c r="S56" i="47" s="1"/>
  <c r="S62" i="47" s="1"/>
  <c r="V26" i="52" a="1"/>
  <c r="V26" i="52" s="1"/>
  <c r="V32" i="52" s="1"/>
  <c r="Q56" i="47" a="1"/>
  <c r="Q56" i="47" s="1"/>
  <c r="Q62" i="47" s="1"/>
  <c r="D46" i="52" a="1"/>
  <c r="D46" i="52" s="1"/>
  <c r="I16" i="47" a="1"/>
  <c r="I16" i="47" s="1"/>
  <c r="I22" i="47" s="1"/>
  <c r="N56" i="47" a="1"/>
  <c r="N56" i="47" s="1"/>
  <c r="N62" i="47" s="1"/>
  <c r="N83" i="47" a="1"/>
  <c r="N83" i="47" s="1"/>
  <c r="N89" i="47" s="1"/>
  <c r="K46" i="47" a="1"/>
  <c r="K46" i="47" s="1"/>
  <c r="K52" i="47" s="1"/>
  <c r="U95" i="47" a="1"/>
  <c r="U95" i="47" s="1"/>
  <c r="U102" i="47" s="1"/>
  <c r="G855" i="4" a="1"/>
  <c r="G855" i="4" s="1"/>
  <c r="S95" i="52" a="1"/>
  <c r="S95" i="52" s="1"/>
  <c r="S102" i="52" s="1"/>
  <c r="C87" i="24" a="1"/>
  <c r="C87" i="24" s="1"/>
  <c r="Q83" i="47" a="1"/>
  <c r="Q83" i="47" s="1"/>
  <c r="Q89" i="47" s="1"/>
  <c r="Q26" i="47" a="1"/>
  <c r="Q26" i="47" s="1"/>
  <c r="Q32" i="47" s="1"/>
  <c r="L72" i="47" a="1"/>
  <c r="L72" i="47" s="1"/>
  <c r="L79" i="47" s="1"/>
  <c r="G389" i="41" a="1"/>
  <c r="G389" i="41" s="1"/>
  <c r="N83" i="52" a="1"/>
  <c r="N83" i="52" s="1"/>
  <c r="N89" i="52" s="1"/>
  <c r="U56" i="47" a="1"/>
  <c r="U56" i="47" s="1"/>
  <c r="U62" i="47" s="1"/>
  <c r="U36" i="52" a="1"/>
  <c r="U36" i="52" s="1"/>
  <c r="U42" i="52" s="1"/>
  <c r="P46" i="52" a="1"/>
  <c r="P46" i="52" s="1"/>
  <c r="P52" i="52" s="1"/>
  <c r="G412" i="41" a="1"/>
  <c r="G412" i="41" s="1"/>
  <c r="P83" i="52" a="1"/>
  <c r="P83" i="52" s="1"/>
  <c r="P89" i="52" s="1"/>
  <c r="G558" i="42" a="1"/>
  <c r="G558" i="42" s="1"/>
  <c r="G818" i="42" a="1"/>
  <c r="G818" i="42" s="1"/>
  <c r="M72" i="47" a="1"/>
  <c r="M72" i="47" s="1"/>
  <c r="M79" i="47" s="1"/>
  <c r="L95" i="52" a="1"/>
  <c r="L95" i="52" s="1"/>
  <c r="L102" i="52" s="1"/>
  <c r="S16" i="47" a="1"/>
  <c r="S16" i="47" s="1"/>
  <c r="S22" i="47" s="1"/>
  <c r="D16" i="52" a="1"/>
  <c r="D16" i="52" s="1"/>
  <c r="P95" i="52" a="1"/>
  <c r="P95" i="52" s="1"/>
  <c r="P102" i="52" s="1"/>
  <c r="W16" i="47" a="1"/>
  <c r="W16" i="47" s="1"/>
  <c r="W22" i="47" s="1"/>
  <c r="K95" i="47" a="1"/>
  <c r="K95" i="47" s="1"/>
  <c r="K102" i="47" s="1"/>
  <c r="Q83" i="52" a="1"/>
  <c r="Q83" i="52" s="1"/>
  <c r="Q89" i="52" s="1"/>
  <c r="C120" i="24" a="1"/>
  <c r="C120" i="24" s="1"/>
  <c r="G121" i="42" a="1"/>
  <c r="G121" i="42" s="1"/>
  <c r="G77" i="34" a="1"/>
  <c r="G77" i="34" s="1"/>
  <c r="Q16" i="47" a="1"/>
  <c r="Q16" i="47" s="1"/>
  <c r="Q22" i="47" s="1"/>
  <c r="V95" i="47" a="1"/>
  <c r="V95" i="47" s="1"/>
  <c r="V102" i="47" s="1"/>
  <c r="H26" i="52" a="1"/>
  <c r="H26" i="52" s="1"/>
  <c r="H32" i="52" s="1"/>
  <c r="R26" i="47" a="1"/>
  <c r="R26" i="47" s="1"/>
  <c r="R32" i="47" s="1"/>
  <c r="F56" i="47" a="1"/>
  <c r="F56" i="47" s="1"/>
  <c r="F62" i="47" s="1"/>
  <c r="F83" i="47" a="1"/>
  <c r="F83" i="47" s="1"/>
  <c r="F89" i="47" s="1"/>
  <c r="F36" i="47" a="1"/>
  <c r="F36" i="47" s="1"/>
  <c r="F42" i="47" s="1"/>
  <c r="S46" i="52" a="1"/>
  <c r="S46" i="52" s="1"/>
  <c r="S52" i="52" s="1"/>
  <c r="G157" i="4" a="1"/>
  <c r="G157" i="4" s="1"/>
  <c r="K95" i="52" a="1"/>
  <c r="K95" i="52" s="1"/>
  <c r="K102" i="52" s="1"/>
  <c r="G435" i="5" a="1"/>
  <c r="G435" i="5" s="1"/>
  <c r="G497" i="5" a="1"/>
  <c r="G497" i="5" s="1"/>
  <c r="K16" i="52" a="1"/>
  <c r="K16" i="52" s="1"/>
  <c r="K22" i="52" s="1"/>
  <c r="W72" i="47" a="1"/>
  <c r="W72" i="47" s="1"/>
  <c r="W79" i="47" s="1"/>
  <c r="K83" i="52" a="1"/>
  <c r="K83" i="52" s="1"/>
  <c r="K89" i="52" s="1"/>
  <c r="G95" i="47" a="1"/>
  <c r="G95" i="47" s="1"/>
  <c r="G102" i="47" s="1"/>
  <c r="I56" i="47" a="1"/>
  <c r="I56" i="47" s="1"/>
  <c r="I62" i="47" s="1"/>
  <c r="AA9" i="48"/>
  <c r="G46" i="47" a="1"/>
  <c r="G46" i="47" s="1"/>
  <c r="G52" i="47" s="1"/>
  <c r="L26" i="52" a="1"/>
  <c r="L26" i="52" s="1"/>
  <c r="L32" i="52" s="1"/>
  <c r="H95" i="47" a="1"/>
  <c r="H95" i="47" s="1"/>
  <c r="H102" i="47" s="1"/>
  <c r="N26" i="52" a="1"/>
  <c r="N26" i="52" s="1"/>
  <c r="N32" i="52" s="1"/>
  <c r="G328" i="5" a="1"/>
  <c r="G328" i="5" s="1"/>
  <c r="G929" i="42" a="1"/>
  <c r="G929" i="42" s="1"/>
  <c r="S72" i="47" a="1"/>
  <c r="S72" i="47" s="1"/>
  <c r="S79" i="47" s="1"/>
  <c r="L16" i="52" a="1"/>
  <c r="L16" i="52" s="1"/>
  <c r="L22" i="52" s="1"/>
  <c r="W36" i="52" a="1"/>
  <c r="W36" i="52" s="1"/>
  <c r="W42" i="52" s="1"/>
  <c r="U46" i="47" a="1"/>
  <c r="U46" i="47" s="1"/>
  <c r="U52" i="47" s="1"/>
  <c r="I72" i="52" a="1"/>
  <c r="I72" i="52" s="1"/>
  <c r="I79" i="52" s="1"/>
  <c r="G123" i="5" a="1"/>
  <c r="G123" i="5" s="1"/>
  <c r="J72" i="47" a="1"/>
  <c r="J72" i="47" s="1"/>
  <c r="J79" i="47" s="1"/>
  <c r="K83" i="47" a="1"/>
  <c r="K83" i="47" s="1"/>
  <c r="K89" i="47" s="1"/>
  <c r="G154" i="41" a="1"/>
  <c r="G154" i="41" s="1"/>
  <c r="H83" i="52" a="1"/>
  <c r="H83" i="52" s="1"/>
  <c r="H89" i="52" s="1"/>
  <c r="G12" i="5" a="1"/>
  <c r="G12" i="5" s="1"/>
  <c r="C142" i="24" a="1"/>
  <c r="C142" i="24" s="1"/>
  <c r="G49" i="42" a="1"/>
  <c r="G49" i="42" s="1"/>
  <c r="G632" i="4" a="1"/>
  <c r="G632" i="4" s="1"/>
  <c r="G670" i="42" a="1"/>
  <c r="G670" i="42" s="1"/>
  <c r="L36" i="52" a="1"/>
  <c r="L36" i="52" s="1"/>
  <c r="L42" i="52" s="1"/>
  <c r="W56" i="52" a="1"/>
  <c r="W56" i="52" s="1"/>
  <c r="W62" i="52" s="1"/>
  <c r="K16" i="47" a="1"/>
  <c r="K16" i="47" s="1"/>
  <c r="K22" i="47" s="1"/>
  <c r="T56" i="47" a="1"/>
  <c r="T56" i="47" s="1"/>
  <c r="T62" i="47" s="1"/>
  <c r="U36" i="47" a="1"/>
  <c r="U36" i="47" s="1"/>
  <c r="U42" i="47" s="1"/>
  <c r="J83" i="47" a="1"/>
  <c r="J83" i="47" s="1"/>
  <c r="J89" i="47" s="1"/>
  <c r="G86" i="41" a="1"/>
  <c r="G86" i="41" s="1"/>
  <c r="W72" i="52" a="1"/>
  <c r="W72" i="52" s="1"/>
  <c r="W79" i="52" s="1"/>
  <c r="G154" i="5" a="1"/>
  <c r="G154" i="5" s="1"/>
  <c r="G228" i="4" a="1"/>
  <c r="G228" i="4" s="1"/>
  <c r="S16" i="52" a="1"/>
  <c r="S16" i="52" s="1"/>
  <c r="S22" i="52" s="1"/>
  <c r="G26" i="52" a="1"/>
  <c r="G26" i="52" s="1"/>
  <c r="G32" i="52" s="1"/>
  <c r="S83" i="52" a="1"/>
  <c r="S83" i="52" s="1"/>
  <c r="S89" i="52" s="1"/>
  <c r="G558" i="4" a="1"/>
  <c r="G558" i="4" s="1"/>
  <c r="G336" i="42" a="1"/>
  <c r="G336" i="42" s="1"/>
  <c r="J36" i="52" a="1"/>
  <c r="J36" i="52" s="1"/>
  <c r="J42" i="52" s="1"/>
  <c r="W46" i="52" a="1"/>
  <c r="W46" i="52" s="1"/>
  <c r="W52" i="52" s="1"/>
  <c r="G31" i="8" a="1"/>
  <c r="G31" i="8" s="1"/>
  <c r="U83" i="52" a="1"/>
  <c r="U83" i="52" s="1"/>
  <c r="U89" i="52" s="1"/>
  <c r="H26" i="47" a="1"/>
  <c r="H26" i="47" s="1"/>
  <c r="H32" i="47" s="1"/>
  <c r="H56" i="47" a="1"/>
  <c r="H56" i="47" s="1"/>
  <c r="H62" i="47" s="1"/>
  <c r="N72" i="52" a="1"/>
  <c r="N72" i="52" s="1"/>
  <c r="N79" i="52" s="1"/>
  <c r="T16" i="47" a="1"/>
  <c r="T16" i="47" s="1"/>
  <c r="T22" i="47" s="1"/>
  <c r="G892" i="4" a="1"/>
  <c r="G892" i="4" s="1"/>
  <c r="G95" i="52" a="1"/>
  <c r="G95" i="52" s="1"/>
  <c r="G102" i="52" s="1"/>
  <c r="G966" i="42" a="1"/>
  <c r="G966" i="42" s="1"/>
  <c r="E36" i="52" a="1"/>
  <c r="E36" i="52" s="1"/>
  <c r="E42" i="52" s="1"/>
  <c r="S26" i="47" a="1"/>
  <c r="S26" i="47" s="1"/>
  <c r="S32" i="47" s="1"/>
  <c r="D72" i="47" a="1"/>
  <c r="D72" i="47" s="1"/>
  <c r="G484" i="4" a="1"/>
  <c r="G484" i="4" s="1"/>
  <c r="G264" i="42" a="1"/>
  <c r="G264" i="42" s="1"/>
  <c r="H36" i="52" a="1"/>
  <c r="H36" i="52" s="1"/>
  <c r="H42" i="52" s="1"/>
  <c r="T83" i="47" a="1"/>
  <c r="T83" i="47" s="1"/>
  <c r="T89" i="47" s="1"/>
  <c r="S83" i="47" a="1"/>
  <c r="S83" i="47" s="1"/>
  <c r="S89" i="47" s="1"/>
  <c r="G484" i="42" a="1"/>
  <c r="G484" i="42" s="1"/>
  <c r="G781" i="42" a="1"/>
  <c r="G781" i="42" s="1"/>
  <c r="K72" i="47" a="1"/>
  <c r="K72" i="47" s="1"/>
  <c r="K79" i="47" s="1"/>
  <c r="L72" i="52" a="1"/>
  <c r="L72" i="52" s="1"/>
  <c r="L79" i="52" s="1"/>
  <c r="R36" i="47" a="1"/>
  <c r="R36" i="47" s="1"/>
  <c r="R42" i="47" s="1"/>
  <c r="M46" i="52" a="1"/>
  <c r="M46" i="52" s="1"/>
  <c r="M52" i="52" s="1"/>
  <c r="F95" i="52" a="1"/>
  <c r="F95" i="52" s="1"/>
  <c r="F102" i="52" s="1"/>
  <c r="M16" i="47" a="1"/>
  <c r="M16" i="47" s="1"/>
  <c r="M22" i="47" s="1"/>
  <c r="P83" i="47" a="1"/>
  <c r="P83" i="47" s="1"/>
  <c r="P89" i="47" s="1"/>
  <c r="V72" i="47" a="1"/>
  <c r="V72" i="47" s="1"/>
  <c r="V79" i="47" s="1"/>
  <c r="W46" i="47" a="1"/>
  <c r="W46" i="47" s="1"/>
  <c r="W52" i="47" s="1"/>
  <c r="U46" i="52" a="1"/>
  <c r="U46" i="52" s="1"/>
  <c r="U52" i="52" s="1"/>
  <c r="G123" i="41" a="1"/>
  <c r="G123" i="41" s="1"/>
  <c r="F83" i="52" a="1"/>
  <c r="F83" i="52" s="1"/>
  <c r="F89" i="52" s="1"/>
  <c r="R95" i="47" a="1"/>
  <c r="R95" i="47" s="1"/>
  <c r="R102" i="47" s="1"/>
  <c r="S26" i="52" a="1"/>
  <c r="S26" i="52" s="1"/>
  <c r="S32" i="52" s="1"/>
  <c r="M56" i="52" a="1"/>
  <c r="M56" i="52" s="1"/>
  <c r="M62" i="52" s="1"/>
  <c r="G256" i="5" a="1"/>
  <c r="G256" i="5" s="1"/>
  <c r="G466" i="5" a="1"/>
  <c r="G466" i="5" s="1"/>
  <c r="G410" i="4" a="1"/>
  <c r="G410" i="4" s="1"/>
  <c r="F36" i="52" a="1"/>
  <c r="F36" i="52" s="1"/>
  <c r="F42" i="52" s="1"/>
  <c r="O36" i="52" a="1"/>
  <c r="O36" i="52" s="1"/>
  <c r="O42" i="52" s="1"/>
  <c r="G328" i="41" a="1"/>
  <c r="G328" i="41" s="1"/>
  <c r="P56" i="52" a="1"/>
  <c r="P56" i="52" s="1"/>
  <c r="P62" i="52" s="1"/>
  <c r="G966" i="4" a="1"/>
  <c r="G966" i="4" s="1"/>
  <c r="R16" i="52" a="1"/>
  <c r="R16" i="52" s="1"/>
  <c r="R22" i="52" s="1"/>
  <c r="G13" i="42" a="1"/>
  <c r="G13" i="42" s="1"/>
  <c r="G707" i="42" a="1"/>
  <c r="G707" i="42" s="1"/>
  <c r="G72" i="47" a="1"/>
  <c r="G72" i="47" s="1"/>
  <c r="G79" i="47" s="1"/>
  <c r="P72" i="52" a="1"/>
  <c r="P72" i="52" s="1"/>
  <c r="P79" i="52" s="1"/>
  <c r="O36" i="47" a="1"/>
  <c r="O36" i="47" s="1"/>
  <c r="O42" i="47" s="1"/>
  <c r="E16" i="52" a="1"/>
  <c r="E16" i="52" s="1"/>
  <c r="E22" i="52" s="1"/>
  <c r="Q26" i="52" a="1"/>
  <c r="Q26" i="52" s="1"/>
  <c r="Q32" i="52" s="1"/>
  <c r="M83" i="52" a="1"/>
  <c r="M83" i="52" s="1"/>
  <c r="M89" i="52" s="1"/>
  <c r="O26" i="47" a="1"/>
  <c r="O26" i="47" s="1"/>
  <c r="O32" i="47" s="1"/>
  <c r="E72" i="47" a="1"/>
  <c r="E72" i="47" s="1"/>
  <c r="E79" i="47" s="1"/>
  <c r="T26" i="52" a="1"/>
  <c r="T26" i="52" s="1"/>
  <c r="T32" i="52" s="1"/>
  <c r="D56" i="47" a="1"/>
  <c r="D56" i="47" s="1"/>
  <c r="U56" i="52" a="1"/>
  <c r="U56" i="52" s="1"/>
  <c r="U62" i="52" s="1"/>
  <c r="K26" i="47" a="1"/>
  <c r="K26" i="47" s="1"/>
  <c r="K32" i="47" s="1"/>
  <c r="E36" i="47" a="1"/>
  <c r="E36" i="47" s="1"/>
  <c r="E42" i="47" s="1"/>
  <c r="F72" i="47" a="1"/>
  <c r="F72" i="47" s="1"/>
  <c r="F79" i="47" s="1"/>
  <c r="G72" i="52" a="1"/>
  <c r="G72" i="52" s="1"/>
  <c r="G79" i="52" s="1"/>
  <c r="G781" i="4" a="1"/>
  <c r="G781" i="4" s="1"/>
  <c r="Q95" i="52" a="1"/>
  <c r="Q95" i="52" s="1"/>
  <c r="Q102" i="52" s="1"/>
  <c r="K72" i="52" a="1"/>
  <c r="K72" i="52" s="1"/>
  <c r="K79" i="52" s="1"/>
  <c r="G336" i="4" a="1"/>
  <c r="G336" i="4" s="1"/>
  <c r="M95" i="52" a="1"/>
  <c r="M95" i="52" s="1"/>
  <c r="M102" i="52" s="1"/>
  <c r="I26" i="47" a="1"/>
  <c r="I26" i="47" s="1"/>
  <c r="I32" i="47" s="1"/>
  <c r="T72" i="47" a="1"/>
  <c r="T72" i="47" s="1"/>
  <c r="T79" i="47" s="1"/>
  <c r="G707" i="4" a="1"/>
  <c r="G707" i="4" s="1"/>
  <c r="O95" i="52" a="1"/>
  <c r="O95" i="52" s="1"/>
  <c r="O102" i="52" s="1"/>
  <c r="N95" i="47" a="1"/>
  <c r="N95" i="47" s="1"/>
  <c r="N102" i="47" s="1"/>
  <c r="U26" i="52" a="1"/>
  <c r="U26" i="52" s="1"/>
  <c r="U32" i="52" s="1"/>
  <c r="G410" i="42" a="1"/>
  <c r="G410" i="42" s="1"/>
  <c r="H56" i="52" a="1"/>
  <c r="H56" i="52" s="1"/>
  <c r="H62" i="52" s="1"/>
  <c r="G670" i="4" a="1"/>
  <c r="G670" i="4" s="1"/>
  <c r="W95" i="47" a="1"/>
  <c r="W95" i="47" s="1"/>
  <c r="W102" i="47" s="1"/>
  <c r="G632" i="42" a="1"/>
  <c r="G632" i="42" s="1"/>
  <c r="G855" i="42" a="1"/>
  <c r="G855" i="42" s="1"/>
  <c r="O72" i="47" a="1"/>
  <c r="O72" i="47" s="1"/>
  <c r="O79" i="47" s="1"/>
  <c r="H72" i="52" a="1"/>
  <c r="H72" i="52" s="1"/>
  <c r="H79" i="52" s="1"/>
  <c r="V46" i="47" a="1"/>
  <c r="V46" i="47" s="1"/>
  <c r="V52" i="47" s="1"/>
  <c r="I95" i="47" a="1"/>
  <c r="I95" i="47" s="1"/>
  <c r="I102" i="47" s="1"/>
  <c r="G264" i="4" a="1"/>
  <c r="G264" i="4" s="1"/>
  <c r="S95" i="47" a="1"/>
  <c r="S95" i="47" s="1"/>
  <c r="S102" i="47" s="1"/>
  <c r="U26" i="47" a="1"/>
  <c r="U26" i="47" s="1"/>
  <c r="U32" i="47" s="1"/>
  <c r="H72" i="47" a="1"/>
  <c r="H72" i="47" s="1"/>
  <c r="H79" i="47" s="1"/>
  <c r="G358" i="5" a="1"/>
  <c r="G358" i="5" s="1"/>
  <c r="G300" i="4" a="1"/>
  <c r="G300" i="4" s="1"/>
  <c r="U16" i="52" a="1"/>
  <c r="U16" i="52" s="1"/>
  <c r="U22" i="52" s="1"/>
  <c r="F46" i="52" a="1"/>
  <c r="F46" i="52" s="1"/>
  <c r="F52" i="52" s="1"/>
  <c r="J95" i="47" a="1"/>
  <c r="J95" i="47" s="1"/>
  <c r="J102" i="47" s="1"/>
  <c r="W26" i="52" a="1"/>
  <c r="W26" i="52" s="1"/>
  <c r="W32" i="52" s="1"/>
  <c r="I56" i="52" a="1"/>
  <c r="I56" i="52" s="1"/>
  <c r="I62" i="52" s="1"/>
  <c r="V26" i="47" a="1"/>
  <c r="V26" i="47" s="1"/>
  <c r="V32" i="47" s="1"/>
  <c r="D46" i="47" a="1"/>
  <c r="D46" i="47" s="1"/>
  <c r="T72" i="52" a="1"/>
  <c r="T72" i="52" s="1"/>
  <c r="T79" i="52" s="1"/>
  <c r="M56" i="47" a="1"/>
  <c r="M56" i="47" s="1"/>
  <c r="M62" i="47" s="1"/>
  <c r="E46" i="52" a="1"/>
  <c r="E46" i="52" s="1"/>
  <c r="E52" i="52" s="1"/>
  <c r="N95" i="52" a="1"/>
  <c r="N95" i="52" s="1"/>
  <c r="N102" i="52" s="1"/>
  <c r="U16" i="47" a="1"/>
  <c r="U16" i="47" s="1"/>
  <c r="U22" i="47" s="1"/>
  <c r="D26" i="52" a="1"/>
  <c r="D26" i="52" s="1"/>
  <c r="C153" i="24" a="1"/>
  <c r="C153" i="24" s="1"/>
  <c r="W83" i="52" a="1"/>
  <c r="W83" i="52" s="1"/>
  <c r="W89" i="52" s="1"/>
  <c r="H16" i="47" a="1"/>
  <c r="H16" i="47" s="1"/>
  <c r="H22" i="47" s="1"/>
  <c r="T46" i="47" a="1"/>
  <c r="T46" i="47" s="1"/>
  <c r="T52" i="47" s="1"/>
  <c r="L95" i="47" a="1"/>
  <c r="L95" i="47" s="1"/>
  <c r="L102" i="47" s="1"/>
  <c r="J26" i="52" a="1"/>
  <c r="J26" i="52" s="1"/>
  <c r="J32" i="52" s="1"/>
  <c r="G256" i="41" a="1"/>
  <c r="G256" i="41" s="1"/>
  <c r="N56" i="52" a="1"/>
  <c r="N56" i="52" s="1"/>
  <c r="N62" i="52" s="1"/>
  <c r="G86" i="5" a="1"/>
  <c r="G86" i="5" s="1"/>
  <c r="G193" i="4" a="1"/>
  <c r="G193" i="4" s="1"/>
  <c r="Q16" i="52" a="1"/>
  <c r="Q16" i="52" s="1"/>
  <c r="Q22" i="52" s="1"/>
  <c r="N46" i="52" a="1"/>
  <c r="N46" i="52" s="1"/>
  <c r="N52" i="52" s="1"/>
  <c r="F46" i="47" a="1"/>
  <c r="F46" i="47" s="1"/>
  <c r="F52" i="47" s="1"/>
  <c r="G49" i="5" a="1"/>
  <c r="G49" i="5" s="1"/>
  <c r="M36" i="52" a="1"/>
  <c r="M36" i="52" s="1"/>
  <c r="M42" i="52" s="1"/>
  <c r="R72" i="52" a="1"/>
  <c r="R72" i="52" s="1"/>
  <c r="R79" i="52" s="1"/>
  <c r="E46" i="47" a="1"/>
  <c r="E46" i="47" s="1"/>
  <c r="E52" i="47" s="1"/>
  <c r="Q72" i="52" a="1"/>
  <c r="Q72" i="52" s="1"/>
  <c r="Q79" i="52" s="1"/>
  <c r="G447" i="4" a="1"/>
  <c r="G447" i="4" s="1"/>
  <c r="E83" i="47" a="1"/>
  <c r="E83" i="47" s="1"/>
  <c r="E89" i="47" s="1"/>
  <c r="P95" i="47" a="1"/>
  <c r="P95" i="47" s="1"/>
  <c r="P102" i="47" s="1"/>
  <c r="F26" i="52" a="1"/>
  <c r="F26" i="52" s="1"/>
  <c r="F32" i="52" s="1"/>
  <c r="L46" i="47" a="1"/>
  <c r="L46" i="47" s="1"/>
  <c r="L52" i="47" s="1"/>
  <c r="O56" i="47" a="1"/>
  <c r="O56" i="47" s="1"/>
  <c r="O62" i="47" s="1"/>
  <c r="S36" i="52" a="1"/>
  <c r="S36" i="52" s="1"/>
  <c r="S42" i="52" s="1"/>
  <c r="W36" i="47" a="1"/>
  <c r="W36" i="47" s="1"/>
  <c r="W42" i="47" s="1"/>
  <c r="J56" i="47" a="1"/>
  <c r="J56" i="47" s="1"/>
  <c r="J62" i="47" s="1"/>
  <c r="U72" i="47" a="1"/>
  <c r="U72" i="47" s="1"/>
  <c r="U79" i="47" s="1"/>
  <c r="T95" i="52" a="1"/>
  <c r="T95" i="52" s="1"/>
  <c r="T102" i="52" s="1"/>
  <c r="H46" i="47" a="1"/>
  <c r="H46" i="47" s="1"/>
  <c r="H52" i="47" s="1"/>
  <c r="J26" i="47" a="1"/>
  <c r="J26" i="47" s="1"/>
  <c r="J32" i="47" s="1"/>
  <c r="R56" i="47" a="1"/>
  <c r="R56" i="47" s="1"/>
  <c r="R62" i="47" s="1"/>
  <c r="E26" i="52" a="1"/>
  <c r="E26" i="52" s="1"/>
  <c r="E32" i="52" s="1"/>
  <c r="I36" i="47" a="1"/>
  <c r="I36" i="47" s="1"/>
  <c r="I42" i="47" s="1"/>
  <c r="T95" i="47" a="1"/>
  <c r="T95" i="47" s="1"/>
  <c r="T102" i="47" s="1"/>
  <c r="P26" i="47" a="1"/>
  <c r="P26" i="47" s="1"/>
  <c r="P32" i="47" s="1"/>
  <c r="S36" i="47" a="1"/>
  <c r="S36" i="47" s="1"/>
  <c r="S42" i="47" s="1"/>
  <c r="F72" i="52" a="1"/>
  <c r="F72" i="52" s="1"/>
  <c r="F79" i="52" s="1"/>
  <c r="M46" i="47" a="1"/>
  <c r="M46" i="47" s="1"/>
  <c r="M52" i="47" s="1"/>
  <c r="M72" i="52" a="1"/>
  <c r="M72" i="52" s="1"/>
  <c r="M79" i="52" s="1"/>
  <c r="K56" i="52" a="1"/>
  <c r="K56" i="52" s="1"/>
  <c r="K62" i="52" s="1"/>
  <c r="G192" i="5" a="1"/>
  <c r="G192" i="5" s="1"/>
  <c r="E95" i="52" a="1"/>
  <c r="E95" i="52" s="1"/>
  <c r="E102" i="52" s="1"/>
  <c r="I83" i="52" a="1"/>
  <c r="I83" i="52" s="1"/>
  <c r="I89" i="52" s="1"/>
  <c r="G26" i="47" a="1"/>
  <c r="G26" i="47" s="1"/>
  <c r="G32" i="47" s="1"/>
  <c r="G27" i="54" a="1"/>
  <c r="G27" i="54" s="1"/>
  <c r="G1003" i="4" a="1"/>
  <c r="G1003" i="4" s="1"/>
  <c r="W95" i="52" a="1"/>
  <c r="W95" i="52" s="1"/>
  <c r="W102" i="52" s="1"/>
  <c r="G521" i="4" a="1"/>
  <c r="G521" i="4" s="1"/>
  <c r="I83" i="47" a="1"/>
  <c r="I83" i="47" s="1"/>
  <c r="I89" i="47" s="1"/>
  <c r="C98" i="24" a="1"/>
  <c r="C98" i="24" s="1"/>
  <c r="G193" i="42" a="1"/>
  <c r="G193" i="42" s="1"/>
  <c r="N36" i="52" a="1"/>
  <c r="N36" i="52" s="1"/>
  <c r="N42" i="52" s="1"/>
  <c r="G223" i="5" a="1"/>
  <c r="G223" i="5" s="1"/>
  <c r="G892" i="42" a="1"/>
  <c r="G892" i="42" s="1"/>
  <c r="Q72" i="47" a="1"/>
  <c r="Q72" i="47" s="1"/>
  <c r="Q79" i="47" s="1"/>
  <c r="O26" i="52" a="1"/>
  <c r="O26" i="52" s="1"/>
  <c r="O32" i="52" s="1"/>
  <c r="Q56" i="52" a="1"/>
  <c r="Q56" i="52" s="1"/>
  <c r="Q62" i="52" s="1"/>
  <c r="E16" i="47" a="1"/>
  <c r="E16" i="47" s="1"/>
  <c r="E22" i="47" s="1"/>
  <c r="H83" i="47" a="1"/>
  <c r="H83" i="47" s="1"/>
  <c r="H89" i="47" s="1"/>
  <c r="G36" i="52" a="1"/>
  <c r="G36" i="52" s="1"/>
  <c r="G42" i="52" s="1"/>
  <c r="N16" i="52" a="1"/>
  <c r="N16" i="52" s="1"/>
  <c r="N22" i="52" s="1"/>
  <c r="R16" i="47" a="1"/>
  <c r="R16" i="47" s="1"/>
  <c r="R22" i="47" s="1"/>
  <c r="L56" i="47" a="1"/>
  <c r="L56" i="47" s="1"/>
  <c r="L62" i="47" s="1"/>
  <c r="P26" i="52" a="1"/>
  <c r="P26" i="52" s="1"/>
  <c r="P32" i="52" s="1"/>
  <c r="N16" i="47" a="1"/>
  <c r="N16" i="47" s="1"/>
  <c r="N22" i="47" s="1"/>
  <c r="D36" i="52" a="1"/>
  <c r="D36" i="52" s="1"/>
  <c r="C164" i="24" a="1"/>
  <c r="C164" i="24" s="1"/>
  <c r="G497" i="41" a="1"/>
  <c r="G497" i="41" s="1"/>
  <c r="V83" i="52" a="1"/>
  <c r="V83" i="52" s="1"/>
  <c r="V89" i="52" s="1"/>
  <c r="E56" i="47" a="1"/>
  <c r="E56" i="47" s="1"/>
  <c r="E62" i="47" s="1"/>
  <c r="I46" i="52" a="1"/>
  <c r="I46" i="52" s="1"/>
  <c r="I52" i="52" s="1"/>
  <c r="J95" i="52" a="1"/>
  <c r="J95" i="52" s="1"/>
  <c r="J102" i="52" s="1"/>
  <c r="G56" i="47" a="1"/>
  <c r="G56" i="47" s="1"/>
  <c r="G62" i="47" s="1"/>
  <c r="L46" i="52" a="1"/>
  <c r="L46" i="52" s="1"/>
  <c r="L52" i="52" s="1"/>
  <c r="P56" i="47" a="1"/>
  <c r="P56" i="47" s="1"/>
  <c r="P62" i="47" s="1"/>
  <c r="V72" i="52" a="1"/>
  <c r="V72" i="52" s="1"/>
  <c r="V79" i="52" s="1"/>
  <c r="W26" i="47" a="1"/>
  <c r="W26" i="47" s="1"/>
  <c r="W32" i="47" s="1"/>
  <c r="P72" i="47" a="1"/>
  <c r="P72" i="47" s="1"/>
  <c r="P79" i="47" s="1"/>
  <c r="H95" i="52" a="1"/>
  <c r="H95" i="52" s="1"/>
  <c r="H102" i="52" s="1"/>
  <c r="G929" i="4" a="1"/>
  <c r="G929" i="4" s="1"/>
  <c r="U95" i="52" a="1"/>
  <c r="U95" i="52" s="1"/>
  <c r="U102" i="52" s="1"/>
  <c r="O83" i="47" a="1"/>
  <c r="O83" i="47" s="1"/>
  <c r="O89" i="47" s="1"/>
  <c r="G373" i="42" a="1"/>
  <c r="G373" i="42" s="1"/>
  <c r="F56" i="52" a="1"/>
  <c r="F56" i="52" s="1"/>
  <c r="F62" i="52" s="1"/>
  <c r="O16" i="52" a="1"/>
  <c r="O16" i="52" s="1"/>
  <c r="O22" i="52" s="1"/>
  <c r="T26" i="47" a="1"/>
  <c r="T26" i="47" s="1"/>
  <c r="T32" i="47" s="1"/>
  <c r="G36" i="47" a="1"/>
  <c r="G36" i="47" s="1"/>
  <c r="G42" i="47" s="1"/>
  <c r="K46" i="52" a="1"/>
  <c r="K46" i="52" s="1"/>
  <c r="K52" i="52" s="1"/>
  <c r="D95" i="52" a="1"/>
  <c r="D95" i="52" s="1"/>
  <c r="H16" i="52" a="1"/>
  <c r="H16" i="52" s="1"/>
  <c r="H22" i="52" s="1"/>
  <c r="J46" i="47" a="1"/>
  <c r="J46" i="47" s="1"/>
  <c r="J52" i="47" s="1"/>
  <c r="K26" i="52" a="1"/>
  <c r="K26" i="52" s="1"/>
  <c r="K32" i="52" s="1"/>
  <c r="D36" i="47" a="1"/>
  <c r="D36" i="47" s="1"/>
  <c r="S72" i="52" a="1"/>
  <c r="S72" i="52" s="1"/>
  <c r="S79" i="52" s="1"/>
  <c r="G373" i="4" a="1"/>
  <c r="G373" i="4" s="1"/>
  <c r="O56" i="52" a="1"/>
  <c r="O56" i="52" s="1"/>
  <c r="O62" i="52" s="1"/>
  <c r="G521" i="42" a="1"/>
  <c r="G521" i="42" s="1"/>
  <c r="G223" i="41" a="1"/>
  <c r="G223" i="41" s="1"/>
  <c r="G85" i="4" a="1"/>
  <c r="G85" i="4" s="1"/>
  <c r="I46" i="47" a="1"/>
  <c r="I46" i="47" s="1"/>
  <c r="I52" i="47" s="1"/>
  <c r="G296" i="41" a="1"/>
  <c r="G296" i="41" s="1"/>
  <c r="G447" i="42" a="1"/>
  <c r="G447" i="42" s="1"/>
  <c r="G296" i="5" a="1"/>
  <c r="G296" i="5" s="1"/>
  <c r="D26" i="47" a="1"/>
  <c r="D26" i="47" s="1"/>
  <c r="T83" i="52" a="1"/>
  <c r="T83" i="52" s="1"/>
  <c r="T89" i="52" s="1"/>
  <c r="G744" i="42" a="1"/>
  <c r="G744" i="42" s="1"/>
  <c r="D56" i="52" a="1"/>
  <c r="D56" i="52" s="1"/>
  <c r="G228" i="42" a="1"/>
  <c r="G228" i="42" s="1"/>
  <c r="J36" i="47" a="1"/>
  <c r="J36" i="47" s="1"/>
  <c r="J42" i="47" s="1"/>
  <c r="R95" i="52" a="1"/>
  <c r="R95" i="52" s="1"/>
  <c r="R102" i="52" s="1"/>
  <c r="R26" i="52" a="1"/>
  <c r="R26" i="52" s="1"/>
  <c r="R32" i="52" s="1"/>
  <c r="D95" i="47" a="1"/>
  <c r="D95" i="47" s="1"/>
  <c r="K36" i="52" a="1"/>
  <c r="K36" i="52" s="1"/>
  <c r="K42" i="52" s="1"/>
  <c r="R83" i="52" a="1"/>
  <c r="R83" i="52" s="1"/>
  <c r="R89" i="52" s="1"/>
  <c r="Q36" i="47" a="1"/>
  <c r="Q36" i="47" s="1"/>
  <c r="Q42" i="47" s="1"/>
  <c r="M83" i="47" a="1"/>
  <c r="M83" i="47" s="1"/>
  <c r="M89" i="47" s="1"/>
  <c r="H46" i="52" a="1"/>
  <c r="H46" i="52" s="1"/>
  <c r="H52" i="52" s="1"/>
  <c r="F16" i="52" a="1"/>
  <c r="F16" i="52" s="1"/>
  <c r="F22" i="52" s="1"/>
  <c r="G83" i="52" a="1"/>
  <c r="G83" i="52" s="1"/>
  <c r="G89" i="52" s="1"/>
  <c r="L83" i="47" a="1"/>
  <c r="L83" i="47" s="1"/>
  <c r="L89" i="47" s="1"/>
  <c r="T16" i="52" a="1"/>
  <c r="T16" i="52" s="1"/>
  <c r="T22" i="52" s="1"/>
  <c r="G49" i="4" a="1"/>
  <c r="G49" i="4" s="1"/>
  <c r="F95" i="47" a="1"/>
  <c r="F95" i="47" s="1"/>
  <c r="F102" i="47" s="1"/>
  <c r="E83" i="52" a="1"/>
  <c r="E83" i="52" s="1"/>
  <c r="E89" i="52" s="1"/>
  <c r="K36" i="47" a="1"/>
  <c r="K36" i="47" s="1"/>
  <c r="K42" i="47" s="1"/>
  <c r="H36" i="47" a="1"/>
  <c r="H36" i="47" s="1"/>
  <c r="H42" i="47" s="1"/>
  <c r="S56" i="52" a="1"/>
  <c r="S56" i="52" s="1"/>
  <c r="S62" i="52" s="1"/>
  <c r="G85" i="42" a="1"/>
  <c r="G85" i="42" s="1"/>
  <c r="V16" i="47" a="1"/>
  <c r="V16" i="47" s="1"/>
  <c r="V22" i="47" s="1"/>
  <c r="O83" i="52" a="1"/>
  <c r="O83" i="52" s="1"/>
  <c r="O89" i="52" s="1"/>
  <c r="D72" i="52" a="1"/>
  <c r="D72" i="52" s="1"/>
  <c r="L26" i="47" a="1"/>
  <c r="L26" i="47" s="1"/>
  <c r="L32" i="47" s="1"/>
  <c r="G121" i="4" a="1"/>
  <c r="G121" i="4" s="1"/>
  <c r="G56" i="52" a="1"/>
  <c r="G56" i="52" s="1"/>
  <c r="G62" i="52" s="1"/>
  <c r="V36" i="47" a="1"/>
  <c r="V36" i="47" s="1"/>
  <c r="V42" i="47" s="1"/>
  <c r="G595" i="42" a="1"/>
  <c r="G595" i="42" s="1"/>
  <c r="V56" i="47" a="1"/>
  <c r="V56" i="47" s="1"/>
  <c r="V62" i="47" s="1"/>
  <c r="V83" i="47" a="1"/>
  <c r="V83" i="47" s="1"/>
  <c r="V89" i="47" s="1"/>
  <c r="V95" i="52" a="1"/>
  <c r="V95" i="52" s="1"/>
  <c r="V102" i="52" s="1"/>
  <c r="E56" i="52" a="1"/>
  <c r="E56" i="52" s="1"/>
  <c r="E62" i="52" s="1"/>
  <c r="G12" i="41" a="1"/>
  <c r="G12" i="41" s="1"/>
  <c r="G412" i="5" a="1"/>
  <c r="G412" i="5" s="1"/>
  <c r="W16" i="52" a="1"/>
  <c r="W16" i="52" s="1"/>
  <c r="W22" i="52" s="1"/>
  <c r="D16" i="47" a="1"/>
  <c r="D16" i="47" s="1"/>
  <c r="V56" i="52" a="1"/>
  <c r="V56" i="52" s="1"/>
  <c r="V62" i="52" s="1"/>
  <c r="L56" i="52" a="1"/>
  <c r="L56" i="52" s="1"/>
  <c r="L62" i="52" s="1"/>
  <c r="O95" i="47" a="1"/>
  <c r="O95" i="47" s="1"/>
  <c r="O102" i="47" s="1"/>
  <c r="O72" i="52" a="1"/>
  <c r="O72" i="52" s="1"/>
  <c r="O79" i="52" s="1"/>
  <c r="J83" i="52" a="1"/>
  <c r="J83" i="52" s="1"/>
  <c r="J89" i="52" s="1"/>
  <c r="T56" i="52" a="1"/>
  <c r="T56" i="52" s="1"/>
  <c r="T62" i="52" s="1"/>
  <c r="N72" i="47" a="1"/>
  <c r="N72" i="47" s="1"/>
  <c r="N79" i="47" s="1"/>
  <c r="G466" i="41" a="1"/>
  <c r="G466" i="41" s="1"/>
  <c r="G157" i="42" a="1"/>
  <c r="G157" i="42" s="1"/>
  <c r="I72" i="47" a="1"/>
  <c r="I72" i="47" s="1"/>
  <c r="I79" i="47" s="1"/>
  <c r="W83" i="47" a="1"/>
  <c r="W83" i="47" s="1"/>
  <c r="W89" i="47" s="1"/>
  <c r="R36" i="52" a="1"/>
  <c r="R36" i="52" s="1"/>
  <c r="R42" i="52" s="1"/>
  <c r="Q46" i="52" a="1"/>
  <c r="Q46" i="52" s="1"/>
  <c r="Q52" i="52" s="1"/>
  <c r="W56" i="47" a="1"/>
  <c r="W56" i="47" s="1"/>
  <c r="W62" i="47" s="1"/>
  <c r="F16" i="47" a="1"/>
  <c r="F16" i="47" s="1"/>
  <c r="F22" i="47" s="1"/>
  <c r="G435" i="41" a="1"/>
  <c r="G435" i="41" s="1"/>
  <c r="I16" i="52" a="1"/>
  <c r="I16" i="52" s="1"/>
  <c r="I22" i="52" s="1"/>
  <c r="M26" i="52" a="1"/>
  <c r="M26" i="52" s="1"/>
  <c r="M32" i="52" s="1"/>
  <c r="G595" i="4" a="1"/>
  <c r="G595" i="4" s="1"/>
  <c r="K56" i="47" a="1"/>
  <c r="K56" i="47" s="1"/>
  <c r="K62" i="47" s="1"/>
  <c r="G744" i="4" a="1"/>
  <c r="G744" i="4" s="1"/>
  <c r="J16" i="47" a="1"/>
  <c r="J16" i="47" s="1"/>
  <c r="J22" i="47" s="1"/>
  <c r="Q46" i="47" a="1"/>
  <c r="Q46" i="47" s="1"/>
  <c r="Q52" i="47" s="1"/>
  <c r="D83" i="52" a="1"/>
  <c r="D83" i="52" s="1"/>
  <c r="G1003" i="42" a="1"/>
  <c r="G1003" i="42" s="1"/>
  <c r="M16" i="52" a="1"/>
  <c r="M16" i="52" s="1"/>
  <c r="M22" i="52" s="1"/>
  <c r="Q36" i="52" a="1"/>
  <c r="Q36" i="52" s="1"/>
  <c r="Q42" i="52" s="1"/>
  <c r="J46" i="52" a="1"/>
  <c r="J46" i="52" s="1"/>
  <c r="J52" i="52" s="1"/>
  <c r="E72" i="52" a="1"/>
  <c r="E72" i="52" s="1"/>
  <c r="E79" i="52" s="1"/>
  <c r="G16" i="47" a="1"/>
  <c r="G16" i="47" s="1"/>
  <c r="G22" i="47" s="1"/>
  <c r="R56" i="52" a="1"/>
  <c r="R56" i="52" s="1"/>
  <c r="R62" i="52" s="1"/>
  <c r="P16" i="52" a="1"/>
  <c r="P16" i="52" s="1"/>
  <c r="P22" i="52" s="1"/>
  <c r="L36" i="47" a="1"/>
  <c r="L36" i="47" s="1"/>
  <c r="L42" i="47" s="1"/>
  <c r="O16" i="47" a="1"/>
  <c r="O16" i="47" s="1"/>
  <c r="O22" i="47" s="1"/>
  <c r="G16" i="52" a="1"/>
  <c r="G16" i="52" s="1"/>
  <c r="G22" i="52" s="1"/>
  <c r="P36" i="52" a="1"/>
  <c r="P36" i="52" s="1"/>
  <c r="P42" i="52" s="1"/>
  <c r="C131" i="24" a="1"/>
  <c r="C131" i="24" s="1"/>
  <c r="N46" i="47" a="1"/>
  <c r="N46" i="47" s="1"/>
  <c r="N52" i="47" s="1"/>
  <c r="AB11" i="48"/>
  <c r="AB9" i="48" s="1"/>
  <c r="F21" i="29"/>
  <c r="F23" i="29" s="1"/>
  <c r="W105" i="52" l="1"/>
  <c r="W108" i="52" s="1"/>
  <c r="W113" i="52" s="1"/>
  <c r="W117" i="52" s="1"/>
  <c r="F105" i="52"/>
  <c r="F108" i="52" s="1"/>
  <c r="F113" i="52" s="1"/>
  <c r="M105" i="52"/>
  <c r="M108" i="52" s="1"/>
  <c r="M113" i="52" s="1"/>
  <c r="I105" i="52"/>
  <c r="I108" i="52" s="1"/>
  <c r="I113" i="52" s="1"/>
  <c r="H145" i="53" s="1"/>
  <c r="J145" i="53" s="1"/>
  <c r="G17" i="44"/>
  <c r="F18" i="44"/>
  <c r="F19" i="44" s="1"/>
  <c r="F20" i="44" s="1"/>
  <c r="F21" i="44" s="1"/>
  <c r="F22" i="44" s="1"/>
  <c r="F23" i="44" s="1"/>
  <c r="F24" i="44" s="1"/>
  <c r="F25" i="44" s="1"/>
  <c r="F26" i="44" s="1"/>
  <c r="F27" i="44" s="1"/>
  <c r="F28" i="44" s="1"/>
  <c r="F29" i="44" s="1"/>
  <c r="F30" i="44" s="1"/>
  <c r="F31" i="44" s="1"/>
  <c r="F32" i="44" s="1"/>
  <c r="F33" i="44" s="1"/>
  <c r="F34" i="44" s="1"/>
  <c r="F35" i="44" s="1"/>
  <c r="F36" i="44" s="1"/>
  <c r="F37" i="44" s="1"/>
  <c r="F38" i="44" s="1"/>
  <c r="F39" i="44" s="1"/>
  <c r="F40" i="44" s="1"/>
  <c r="F41" i="44" s="1"/>
  <c r="F42" i="44" s="1"/>
  <c r="F43" i="44" s="1"/>
  <c r="F44" i="44" s="1"/>
  <c r="F45" i="44" s="1"/>
  <c r="F46" i="44" s="1"/>
  <c r="F47" i="44" s="1"/>
  <c r="F105" i="47"/>
  <c r="F108" i="47" s="1"/>
  <c r="F113" i="47" s="1"/>
  <c r="F117" i="47" s="1"/>
  <c r="I25" i="23"/>
  <c r="D21" i="27"/>
  <c r="G105" i="47"/>
  <c r="G108" i="47" s="1"/>
  <c r="G113" i="47" s="1"/>
  <c r="G117" i="47" s="1"/>
  <c r="G105" i="52"/>
  <c r="G108" i="52" s="1"/>
  <c r="G113" i="52" s="1"/>
  <c r="O105" i="47"/>
  <c r="O108" i="47" s="1"/>
  <c r="O113" i="47" s="1"/>
  <c r="O117" i="47" s="1"/>
  <c r="J105" i="47"/>
  <c r="J108" i="47" s="1"/>
  <c r="J113" i="47" s="1"/>
  <c r="H146" i="7" s="1"/>
  <c r="J146" i="7" s="1"/>
  <c r="R105" i="47"/>
  <c r="R108" i="47" s="1"/>
  <c r="R113" i="47" s="1"/>
  <c r="R117" i="47" s="1"/>
  <c r="D21" i="40"/>
  <c r="BI18" i="40"/>
  <c r="D27" i="27"/>
  <c r="I32" i="23"/>
  <c r="D28" i="27"/>
  <c r="I34" i="23"/>
  <c r="P18" i="40"/>
  <c r="H15" i="29"/>
  <c r="N15" i="29" s="1"/>
  <c r="J67" i="7"/>
  <c r="J88" i="7" s="1"/>
  <c r="I39" i="23"/>
  <c r="D32" i="27"/>
  <c r="I19" i="23"/>
  <c r="D15" i="27"/>
  <c r="D25" i="27"/>
  <c r="I29" i="23"/>
  <c r="N105" i="52"/>
  <c r="N108" i="52" s="1"/>
  <c r="N113" i="52" s="1"/>
  <c r="N117" i="52" s="1"/>
  <c r="I37" i="23"/>
  <c r="D30" i="27"/>
  <c r="N13" i="29"/>
  <c r="D23" i="27"/>
  <c r="I27" i="23"/>
  <c r="D22" i="32"/>
  <c r="H11" i="32"/>
  <c r="I24" i="23"/>
  <c r="D20" i="27"/>
  <c r="I1003" i="42"/>
  <c r="G1035" i="42"/>
  <c r="I1035" i="42" s="1"/>
  <c r="I744" i="4"/>
  <c r="G776" i="4"/>
  <c r="I776" i="4" s="1"/>
  <c r="I595" i="4"/>
  <c r="G627" i="4"/>
  <c r="I627" i="4" s="1"/>
  <c r="I117" i="52"/>
  <c r="H142" i="7"/>
  <c r="J142" i="7" s="1"/>
  <c r="I157" i="42"/>
  <c r="G188" i="42"/>
  <c r="I188" i="42" s="1"/>
  <c r="I12" i="41"/>
  <c r="F43" i="40" s="1"/>
  <c r="F48" i="40" s="1"/>
  <c r="G44" i="41"/>
  <c r="G152" i="4"/>
  <c r="I152" i="4" s="1"/>
  <c r="I121" i="4"/>
  <c r="D79" i="52"/>
  <c r="X79" i="52" s="1"/>
  <c r="X72" i="52"/>
  <c r="D62" i="52"/>
  <c r="X62" i="52" s="1"/>
  <c r="X56" i="52"/>
  <c r="G323" i="5"/>
  <c r="I323" i="5" s="1"/>
  <c r="I296" i="5"/>
  <c r="D105" i="40" s="1"/>
  <c r="G323" i="41"/>
  <c r="I323" i="41" s="1"/>
  <c r="I296" i="41"/>
  <c r="F105" i="40" s="1"/>
  <c r="F110" i="40" s="1"/>
  <c r="G116" i="4"/>
  <c r="I116" i="4" s="1"/>
  <c r="I85" i="4"/>
  <c r="I521" i="42"/>
  <c r="G553" i="42"/>
  <c r="I553" i="42" s="1"/>
  <c r="G405" i="4"/>
  <c r="I405" i="4" s="1"/>
  <c r="I373" i="4"/>
  <c r="D42" i="47"/>
  <c r="X42" i="47" s="1"/>
  <c r="X36" i="47"/>
  <c r="X95" i="52"/>
  <c r="D102" i="52"/>
  <c r="X102" i="52" s="1"/>
  <c r="I373" i="42"/>
  <c r="G405" i="42"/>
  <c r="I405" i="42" s="1"/>
  <c r="G251" i="5"/>
  <c r="I251" i="5" s="1"/>
  <c r="B14" i="30" s="1"/>
  <c r="I223" i="5"/>
  <c r="D87" i="40" s="1"/>
  <c r="I193" i="42"/>
  <c r="G223" i="42"/>
  <c r="C154" i="24"/>
  <c r="C155" i="24" s="1"/>
  <c r="C156" i="24" s="1"/>
  <c r="G38" i="54"/>
  <c r="G48" i="54" s="1"/>
  <c r="G53" i="54" s="1"/>
  <c r="I27" i="54"/>
  <c r="G218" i="5"/>
  <c r="I218" i="5" s="1"/>
  <c r="I192" i="5"/>
  <c r="D79" i="40" s="1"/>
  <c r="G81" i="5"/>
  <c r="I81" i="5" s="1"/>
  <c r="I49" i="5"/>
  <c r="I193" i="4"/>
  <c r="G223" i="4"/>
  <c r="I223" i="4" s="1"/>
  <c r="X26" i="52"/>
  <c r="D32" i="52"/>
  <c r="X32" i="52" s="1"/>
  <c r="X46" i="47"/>
  <c r="D52" i="47"/>
  <c r="X52" i="47" s="1"/>
  <c r="I358" i="5"/>
  <c r="D123" i="40" s="1"/>
  <c r="G384" i="5"/>
  <c r="I384" i="5" s="1"/>
  <c r="B16" i="30" s="1"/>
  <c r="I264" i="4"/>
  <c r="G295" i="4"/>
  <c r="I295" i="4" s="1"/>
  <c r="G665" i="42"/>
  <c r="I665" i="42" s="1"/>
  <c r="I632" i="42"/>
  <c r="G702" i="4"/>
  <c r="I702" i="4" s="1"/>
  <c r="I670" i="4"/>
  <c r="I410" i="42"/>
  <c r="G442" i="42"/>
  <c r="I442" i="42" s="1"/>
  <c r="I707" i="4"/>
  <c r="G739" i="4"/>
  <c r="I739" i="4" s="1"/>
  <c r="G367" i="4"/>
  <c r="I367" i="4" s="1"/>
  <c r="I336" i="4"/>
  <c r="I13" i="42"/>
  <c r="C99" i="24"/>
  <c r="C100" i="24" s="1"/>
  <c r="C101" i="24" s="1"/>
  <c r="G44" i="42"/>
  <c r="I966" i="4"/>
  <c r="G998" i="4"/>
  <c r="I998" i="4" s="1"/>
  <c r="I328" i="41"/>
  <c r="F114" i="40" s="1"/>
  <c r="F119" i="40" s="1"/>
  <c r="G353" i="41"/>
  <c r="I353" i="41" s="1"/>
  <c r="I466" i="5"/>
  <c r="D149" i="40" s="1"/>
  <c r="G492" i="5"/>
  <c r="I492" i="5" s="1"/>
  <c r="I123" i="41"/>
  <c r="F61" i="40" s="1"/>
  <c r="F66" i="40" s="1"/>
  <c r="G149" i="41"/>
  <c r="I149" i="41" s="1"/>
  <c r="C13" i="30" s="1"/>
  <c r="I484" i="42"/>
  <c r="G516" i="42"/>
  <c r="I516" i="42" s="1"/>
  <c r="G295" i="42"/>
  <c r="I295" i="42" s="1"/>
  <c r="I264" i="42"/>
  <c r="X72" i="47"/>
  <c r="D79" i="47"/>
  <c r="X79" i="47" s="1"/>
  <c r="I336" i="42"/>
  <c r="G367" i="42"/>
  <c r="I367" i="42" s="1"/>
  <c r="I154" i="5"/>
  <c r="D70" i="40" s="1"/>
  <c r="G187" i="5"/>
  <c r="I187" i="5" s="1"/>
  <c r="B10" i="30" s="1"/>
  <c r="I86" i="41"/>
  <c r="G118" i="41"/>
  <c r="I118" i="41" s="1"/>
  <c r="I632" i="4"/>
  <c r="G665" i="4"/>
  <c r="I665" i="4" s="1"/>
  <c r="I123" i="5"/>
  <c r="D61" i="40" s="1"/>
  <c r="BI61" i="40" s="1"/>
  <c r="G149" i="5"/>
  <c r="I149" i="5" s="1"/>
  <c r="B13" i="30" s="1"/>
  <c r="I929" i="42"/>
  <c r="G961" i="42"/>
  <c r="I961" i="42" s="1"/>
  <c r="I497" i="5"/>
  <c r="D160" i="40" s="1"/>
  <c r="G525" i="5"/>
  <c r="I525" i="5" s="1"/>
  <c r="G111" i="34"/>
  <c r="I77" i="34"/>
  <c r="I558" i="42"/>
  <c r="G590" i="42"/>
  <c r="I590" i="42" s="1"/>
  <c r="I412" i="41"/>
  <c r="G430" i="41"/>
  <c r="I430" i="41" s="1"/>
  <c r="I1040" i="4"/>
  <c r="G1072" i="4"/>
  <c r="I1072" i="4" s="1"/>
  <c r="I1040" i="42"/>
  <c r="G1072" i="42"/>
  <c r="I1072" i="42" s="1"/>
  <c r="G384" i="41"/>
  <c r="I384" i="41" s="1"/>
  <c r="C16" i="30" s="1"/>
  <c r="I358" i="41"/>
  <c r="F123" i="40" s="1"/>
  <c r="F128" i="40" s="1"/>
  <c r="G81" i="41"/>
  <c r="I81" i="41" s="1"/>
  <c r="I49" i="41"/>
  <c r="I192" i="41"/>
  <c r="F79" i="40" s="1"/>
  <c r="F84" i="40" s="1"/>
  <c r="G218" i="41"/>
  <c r="I218" i="41" s="1"/>
  <c r="G407" i="5"/>
  <c r="I407" i="5" s="1"/>
  <c r="I389" i="5"/>
  <c r="I818" i="4"/>
  <c r="G850" i="4"/>
  <c r="I850" i="4" s="1"/>
  <c r="I300" i="42"/>
  <c r="G331" i="42"/>
  <c r="I331" i="42" s="1"/>
  <c r="I13" i="4"/>
  <c r="C88" i="24"/>
  <c r="C89" i="24" s="1"/>
  <c r="C90" i="24" s="1"/>
  <c r="G44" i="4"/>
  <c r="C110" i="24"/>
  <c r="C111" i="24" s="1"/>
  <c r="C112" i="24" s="1"/>
  <c r="I30" i="34"/>
  <c r="G61" i="34"/>
  <c r="G116" i="34" s="1"/>
  <c r="G127" i="34" s="1"/>
  <c r="G132" i="34" s="1"/>
  <c r="C165" i="24"/>
  <c r="C166" i="24" s="1"/>
  <c r="C167" i="24" s="1"/>
  <c r="G47" i="16"/>
  <c r="G57" i="16" s="1"/>
  <c r="G62" i="16" s="1"/>
  <c r="I34" i="16"/>
  <c r="L29" i="40"/>
  <c r="V105" i="47"/>
  <c r="V108" i="47" s="1"/>
  <c r="V113" i="47" s="1"/>
  <c r="V117" i="47" s="1"/>
  <c r="T105" i="52"/>
  <c r="T108" i="52" s="1"/>
  <c r="T113" i="52" s="1"/>
  <c r="T117" i="52" s="1"/>
  <c r="O105" i="52"/>
  <c r="O108" i="52" s="1"/>
  <c r="O113" i="52" s="1"/>
  <c r="O117" i="52" s="1"/>
  <c r="N105" i="47"/>
  <c r="N108" i="47" s="1"/>
  <c r="N113" i="47" s="1"/>
  <c r="N117" i="47" s="1"/>
  <c r="U105" i="52"/>
  <c r="U108" i="52" s="1"/>
  <c r="U113" i="52" s="1"/>
  <c r="U117" i="52" s="1"/>
  <c r="T105" i="47"/>
  <c r="T108" i="47" s="1"/>
  <c r="T113" i="47" s="1"/>
  <c r="T117" i="47" s="1"/>
  <c r="S105" i="52"/>
  <c r="S108" i="52" s="1"/>
  <c r="S113" i="52" s="1"/>
  <c r="S117" i="52" s="1"/>
  <c r="K105" i="47"/>
  <c r="K108" i="47" s="1"/>
  <c r="K113" i="47" s="1"/>
  <c r="L105" i="52"/>
  <c r="L108" i="52" s="1"/>
  <c r="L113" i="52" s="1"/>
  <c r="S105" i="47"/>
  <c r="S108" i="47" s="1"/>
  <c r="S113" i="47" s="1"/>
  <c r="S117" i="47" s="1"/>
  <c r="I105" i="47"/>
  <c r="I108" i="47" s="1"/>
  <c r="I113" i="47" s="1"/>
  <c r="P105" i="47"/>
  <c r="P108" i="47" s="1"/>
  <c r="P113" i="47" s="1"/>
  <c r="P117" i="47" s="1"/>
  <c r="H143" i="53"/>
  <c r="J143" i="53" s="1"/>
  <c r="G117" i="52"/>
  <c r="H143" i="7"/>
  <c r="J143" i="7" s="1"/>
  <c r="H149" i="53"/>
  <c r="J149" i="53" s="1"/>
  <c r="M117" i="52"/>
  <c r="D89" i="52"/>
  <c r="X89" i="52" s="1"/>
  <c r="X83" i="52"/>
  <c r="J117" i="47"/>
  <c r="I435" i="41"/>
  <c r="F140" i="40" s="1"/>
  <c r="F145" i="40" s="1"/>
  <c r="G461" i="41"/>
  <c r="I461" i="41" s="1"/>
  <c r="I466" i="41"/>
  <c r="F149" i="40" s="1"/>
  <c r="F154" i="40" s="1"/>
  <c r="G492" i="41"/>
  <c r="I492" i="41" s="1"/>
  <c r="X16" i="47"/>
  <c r="D22" i="47"/>
  <c r="I412" i="5"/>
  <c r="G430" i="5"/>
  <c r="I430" i="5" s="1"/>
  <c r="G627" i="42"/>
  <c r="I627" i="42" s="1"/>
  <c r="I595" i="42"/>
  <c r="I85" i="42"/>
  <c r="G116" i="42"/>
  <c r="I116" i="42" s="1"/>
  <c r="I49" i="4"/>
  <c r="G80" i="4"/>
  <c r="I80" i="4" s="1"/>
  <c r="H142" i="53"/>
  <c r="J142" i="53" s="1"/>
  <c r="F117" i="52"/>
  <c r="X95" i="47"/>
  <c r="D102" i="47"/>
  <c r="X102" i="47" s="1"/>
  <c r="I228" i="42"/>
  <c r="G259" i="42"/>
  <c r="I259" i="42" s="1"/>
  <c r="G776" i="42"/>
  <c r="I776" i="42" s="1"/>
  <c r="I744" i="42"/>
  <c r="D32" i="47"/>
  <c r="X32" i="47" s="1"/>
  <c r="X26" i="47"/>
  <c r="I447" i="42"/>
  <c r="G479" i="42"/>
  <c r="I479" i="42" s="1"/>
  <c r="I223" i="41"/>
  <c r="F87" i="40" s="1"/>
  <c r="F92" i="40" s="1"/>
  <c r="G251" i="41"/>
  <c r="I251" i="41" s="1"/>
  <c r="C14" i="30" s="1"/>
  <c r="I929" i="4"/>
  <c r="G961" i="4"/>
  <c r="I961" i="4" s="1"/>
  <c r="G525" i="41"/>
  <c r="I525" i="41" s="1"/>
  <c r="I497" i="41"/>
  <c r="F160" i="40" s="1"/>
  <c r="F165" i="40" s="1"/>
  <c r="X36" i="52"/>
  <c r="D42" i="52"/>
  <c r="X42" i="52" s="1"/>
  <c r="G924" i="42"/>
  <c r="I924" i="42" s="1"/>
  <c r="I892" i="42"/>
  <c r="I521" i="4"/>
  <c r="G553" i="4"/>
  <c r="I553" i="4" s="1"/>
  <c r="G1035" i="4"/>
  <c r="I1035" i="4" s="1"/>
  <c r="I1003" i="4"/>
  <c r="I447" i="4"/>
  <c r="G479" i="4"/>
  <c r="I479" i="4" s="1"/>
  <c r="G118" i="5"/>
  <c r="I118" i="5" s="1"/>
  <c r="I86" i="5"/>
  <c r="G291" i="41"/>
  <c r="I291" i="41" s="1"/>
  <c r="C15" i="30" s="1"/>
  <c r="I256" i="41"/>
  <c r="F96" i="40" s="1"/>
  <c r="F101" i="40" s="1"/>
  <c r="G331" i="4"/>
  <c r="I331" i="4" s="1"/>
  <c r="I300" i="4"/>
  <c r="I855" i="42"/>
  <c r="G887" i="42"/>
  <c r="I887" i="42" s="1"/>
  <c r="I781" i="4"/>
  <c r="G813" i="4"/>
  <c r="I813" i="4" s="1"/>
  <c r="D62" i="47"/>
  <c r="X62" i="47" s="1"/>
  <c r="X56" i="47"/>
  <c r="G739" i="42"/>
  <c r="I739" i="42" s="1"/>
  <c r="I707" i="42"/>
  <c r="I410" i="4"/>
  <c r="G442" i="4"/>
  <c r="I442" i="4" s="1"/>
  <c r="G291" i="5"/>
  <c r="I291" i="5" s="1"/>
  <c r="B15" i="30" s="1"/>
  <c r="I256" i="5"/>
  <c r="D96" i="40" s="1"/>
  <c r="G813" i="42"/>
  <c r="I813" i="42" s="1"/>
  <c r="I781" i="42"/>
  <c r="G516" i="4"/>
  <c r="I516" i="4" s="1"/>
  <c r="I484" i="4"/>
  <c r="G998" i="42"/>
  <c r="I966" i="42"/>
  <c r="I998" i="42" s="1"/>
  <c r="I892" i="4"/>
  <c r="G924" i="4"/>
  <c r="I924" i="4" s="1"/>
  <c r="I31" i="8"/>
  <c r="C143" i="24"/>
  <c r="C144" i="24" s="1"/>
  <c r="C145" i="24" s="1"/>
  <c r="G41" i="8"/>
  <c r="G57" i="8" s="1"/>
  <c r="G67" i="8" s="1"/>
  <c r="G72" i="8" s="1"/>
  <c r="G590" i="4"/>
  <c r="I590" i="4" s="1"/>
  <c r="I558" i="4"/>
  <c r="I228" i="4"/>
  <c r="G259" i="4"/>
  <c r="I259" i="4" s="1"/>
  <c r="I670" i="42"/>
  <c r="G702" i="42"/>
  <c r="I702" i="42" s="1"/>
  <c r="I49" i="42"/>
  <c r="G80" i="42"/>
  <c r="I80" i="42" s="1"/>
  <c r="I12" i="5"/>
  <c r="D43" i="40" s="1"/>
  <c r="G44" i="5"/>
  <c r="I154" i="41"/>
  <c r="F70" i="40" s="1"/>
  <c r="F75" i="40" s="1"/>
  <c r="G187" i="41"/>
  <c r="I187" i="41" s="1"/>
  <c r="C10" i="30" s="1"/>
  <c r="I328" i="5"/>
  <c r="D114" i="40" s="1"/>
  <c r="G353" i="5"/>
  <c r="I353" i="5" s="1"/>
  <c r="I435" i="5"/>
  <c r="D140" i="40" s="1"/>
  <c r="G461" i="5"/>
  <c r="I461" i="5" s="1"/>
  <c r="B19" i="30" s="1"/>
  <c r="G188" i="4"/>
  <c r="I188" i="4" s="1"/>
  <c r="I157" i="4"/>
  <c r="I121" i="42"/>
  <c r="G152" i="42"/>
  <c r="I152" i="42" s="1"/>
  <c r="X16" i="52"/>
  <c r="D22" i="52"/>
  <c r="G850" i="42"/>
  <c r="I850" i="42" s="1"/>
  <c r="I818" i="42"/>
  <c r="I389" i="41"/>
  <c r="F131" i="40" s="1"/>
  <c r="F136" i="40" s="1"/>
  <c r="G407" i="41"/>
  <c r="I407" i="41" s="1"/>
  <c r="I855" i="4"/>
  <c r="G887" i="4"/>
  <c r="I887" i="4" s="1"/>
  <c r="X46" i="52"/>
  <c r="D52" i="52"/>
  <c r="X52" i="52" s="1"/>
  <c r="X83" i="47"/>
  <c r="D89" i="47"/>
  <c r="X89" i="47" s="1"/>
  <c r="P105" i="52"/>
  <c r="P108" i="52" s="1"/>
  <c r="P113" i="52" s="1"/>
  <c r="P117" i="52" s="1"/>
  <c r="H105" i="52"/>
  <c r="H108" i="52" s="1"/>
  <c r="H113" i="52" s="1"/>
  <c r="E105" i="47"/>
  <c r="E108" i="47" s="1"/>
  <c r="E113" i="47" s="1"/>
  <c r="Q105" i="52"/>
  <c r="Q108" i="52" s="1"/>
  <c r="Q113" i="52" s="1"/>
  <c r="Q117" i="52" s="1"/>
  <c r="H105" i="47"/>
  <c r="H108" i="47" s="1"/>
  <c r="H113" i="47" s="1"/>
  <c r="U105" i="47"/>
  <c r="U108" i="47" s="1"/>
  <c r="U113" i="47" s="1"/>
  <c r="U117" i="47" s="1"/>
  <c r="E105" i="52"/>
  <c r="E108" i="52" s="1"/>
  <c r="E113" i="52" s="1"/>
  <c r="R105" i="52"/>
  <c r="R108" i="52" s="1"/>
  <c r="R113" i="52" s="1"/>
  <c r="R117" i="52" s="1"/>
  <c r="M105" i="47"/>
  <c r="M108" i="47" s="1"/>
  <c r="M113" i="47" s="1"/>
  <c r="K105" i="52"/>
  <c r="K108" i="52" s="1"/>
  <c r="K113" i="52" s="1"/>
  <c r="Q105" i="47"/>
  <c r="Q108" i="47" s="1"/>
  <c r="Q113" i="47" s="1"/>
  <c r="Q117" i="47" s="1"/>
  <c r="W105" i="47"/>
  <c r="W108" i="47" s="1"/>
  <c r="W113" i="47" s="1"/>
  <c r="W117" i="47" s="1"/>
  <c r="L105" i="47"/>
  <c r="L108" i="47" s="1"/>
  <c r="L113" i="47" s="1"/>
  <c r="V105" i="52"/>
  <c r="V108" i="52" s="1"/>
  <c r="V113" i="52" s="1"/>
  <c r="V117" i="52" s="1"/>
  <c r="J105" i="52"/>
  <c r="J108" i="52" s="1"/>
  <c r="J113" i="52" s="1"/>
  <c r="BI114" i="40" l="1"/>
  <c r="BI96" i="40"/>
  <c r="G18" i="44"/>
  <c r="G19" i="44" s="1"/>
  <c r="G20" i="44" s="1"/>
  <c r="G21" i="44" s="1"/>
  <c r="G22" i="44" s="1"/>
  <c r="G23" i="44" s="1"/>
  <c r="G24" i="44" s="1"/>
  <c r="G25" i="44" s="1"/>
  <c r="G26" i="44" s="1"/>
  <c r="G27" i="44" s="1"/>
  <c r="G28" i="44" s="1"/>
  <c r="G29" i="44" s="1"/>
  <c r="G30" i="44" s="1"/>
  <c r="G31" i="44" s="1"/>
  <c r="G32" i="44" s="1"/>
  <c r="G33" i="44" s="1"/>
  <c r="G34" i="44" s="1"/>
  <c r="G35" i="44" s="1"/>
  <c r="G36" i="44" s="1"/>
  <c r="G37" i="44" s="1"/>
  <c r="G38" i="44" s="1"/>
  <c r="G39" i="44" s="1"/>
  <c r="G40" i="44" s="1"/>
  <c r="G41" i="44" s="1"/>
  <c r="G42" i="44" s="1"/>
  <c r="G43" i="44" s="1"/>
  <c r="G44" i="44" s="1"/>
  <c r="G45" i="44" s="1"/>
  <c r="G46" i="44" s="1"/>
  <c r="G47" i="44" s="1"/>
  <c r="H17" i="44"/>
  <c r="BI140" i="40"/>
  <c r="F52" i="40"/>
  <c r="F57" i="40" s="1"/>
  <c r="F156" i="40" s="1"/>
  <c r="D29" i="40"/>
  <c r="BI160" i="40"/>
  <c r="BI70" i="40"/>
  <c r="BI149" i="40"/>
  <c r="BI79" i="40"/>
  <c r="H17" i="29"/>
  <c r="H21" i="29" s="1"/>
  <c r="H23" i="29" s="1"/>
  <c r="BI87" i="40"/>
  <c r="BI105" i="40"/>
  <c r="D24" i="32"/>
  <c r="H22" i="32"/>
  <c r="B16" i="27"/>
  <c r="B35" i="27" s="1"/>
  <c r="J184" i="7"/>
  <c r="P21" i="40"/>
  <c r="BI21" i="40" s="1"/>
  <c r="H149" i="7"/>
  <c r="J149" i="7" s="1"/>
  <c r="M117" i="47"/>
  <c r="H141" i="7"/>
  <c r="J141" i="7" s="1"/>
  <c r="E117" i="47"/>
  <c r="D105" i="52"/>
  <c r="X22" i="52"/>
  <c r="G527" i="5"/>
  <c r="I527" i="5" s="1"/>
  <c r="I44" i="5"/>
  <c r="B9" i="30" s="1"/>
  <c r="I41" i="8"/>
  <c r="R34" i="40"/>
  <c r="R39" i="40" s="1"/>
  <c r="R176" i="40" s="1"/>
  <c r="R188" i="40" s="1"/>
  <c r="R192" i="40" s="1"/>
  <c r="H148" i="53"/>
  <c r="J148" i="53" s="1"/>
  <c r="L117" i="52"/>
  <c r="K117" i="47"/>
  <c r="H147" i="7"/>
  <c r="J147" i="7" s="1"/>
  <c r="I47" i="16"/>
  <c r="AN123" i="40"/>
  <c r="AN128" i="40" s="1"/>
  <c r="AN156" i="40" s="1"/>
  <c r="AN176" i="40" s="1"/>
  <c r="J34" i="40"/>
  <c r="J39" i="40" s="1"/>
  <c r="I61" i="34"/>
  <c r="G1074" i="4"/>
  <c r="I44" i="4"/>
  <c r="D165" i="40"/>
  <c r="BI165" i="40" s="1"/>
  <c r="D66" i="40"/>
  <c r="BI66" i="40" s="1"/>
  <c r="D75" i="40"/>
  <c r="BI75" i="40" s="1"/>
  <c r="D154" i="40"/>
  <c r="BI154" i="40" s="1"/>
  <c r="D84" i="40"/>
  <c r="BI84" i="40" s="1"/>
  <c r="T34" i="40"/>
  <c r="T39" i="40" s="1"/>
  <c r="T176" i="40" s="1"/>
  <c r="T188" i="40" s="1"/>
  <c r="T192" i="40" s="1"/>
  <c r="I38" i="54"/>
  <c r="C132" i="24"/>
  <c r="C133" i="24" s="1"/>
  <c r="C134" i="24" s="1"/>
  <c r="B1080" i="4"/>
  <c r="D34" i="40" s="1"/>
  <c r="D52" i="40"/>
  <c r="N14" i="30"/>
  <c r="H141" i="53"/>
  <c r="J141" i="53" s="1"/>
  <c r="E117" i="52"/>
  <c r="J117" i="52"/>
  <c r="H146" i="53"/>
  <c r="J146" i="53" s="1"/>
  <c r="H148" i="7"/>
  <c r="J148" i="7" s="1"/>
  <c r="L117" i="47"/>
  <c r="H147" i="53"/>
  <c r="J147" i="53" s="1"/>
  <c r="K117" i="52"/>
  <c r="H144" i="7"/>
  <c r="J144" i="7" s="1"/>
  <c r="H117" i="47"/>
  <c r="H117" i="52"/>
  <c r="H144" i="53"/>
  <c r="J144" i="53" s="1"/>
  <c r="D145" i="40"/>
  <c r="BI145" i="40" s="1"/>
  <c r="D119" i="40"/>
  <c r="BI119" i="40" s="1"/>
  <c r="D48" i="40"/>
  <c r="D101" i="40"/>
  <c r="BI101" i="40" s="1"/>
  <c r="D105" i="47"/>
  <c r="X22" i="47"/>
  <c r="H145" i="7"/>
  <c r="J145" i="7" s="1"/>
  <c r="I117" i="47"/>
  <c r="I111" i="34"/>
  <c r="E12" i="30" s="1"/>
  <c r="J43" i="40"/>
  <c r="J48" i="40" s="1"/>
  <c r="J156" i="40" s="1"/>
  <c r="N13" i="30"/>
  <c r="G1074" i="42"/>
  <c r="I44" i="42"/>
  <c r="D128" i="40"/>
  <c r="D92" i="40"/>
  <c r="BI92" i="40" s="1"/>
  <c r="D110" i="40"/>
  <c r="BI110" i="40" s="1"/>
  <c r="G527" i="41"/>
  <c r="I527" i="41" s="1"/>
  <c r="I44" i="41"/>
  <c r="C9" i="30" s="1"/>
  <c r="C121" i="24"/>
  <c r="C122" i="24" s="1"/>
  <c r="C123" i="24" s="1"/>
  <c r="C19" i="30"/>
  <c r="N19" i="30" s="1"/>
  <c r="D131" i="40"/>
  <c r="BI131" i="40" s="1"/>
  <c r="C17" i="30"/>
  <c r="C18" i="30" s="1"/>
  <c r="N10" i="30"/>
  <c r="B1080" i="42"/>
  <c r="F34" i="40" s="1"/>
  <c r="F39" i="40" s="1"/>
  <c r="B17" i="30"/>
  <c r="N17" i="30" l="1"/>
  <c r="BI52" i="40"/>
  <c r="N17" i="29"/>
  <c r="B8" i="28" s="1"/>
  <c r="I17" i="44"/>
  <c r="H18" i="44"/>
  <c r="H19" i="44" s="1"/>
  <c r="H20" i="44" s="1"/>
  <c r="H21" i="44" s="1"/>
  <c r="H22" i="44" s="1"/>
  <c r="H23" i="44" s="1"/>
  <c r="H24" i="44" s="1"/>
  <c r="H25" i="44" s="1"/>
  <c r="H26" i="44" s="1"/>
  <c r="H27" i="44" s="1"/>
  <c r="H28" i="44" s="1"/>
  <c r="H29" i="44" s="1"/>
  <c r="H30" i="44" s="1"/>
  <c r="H31" i="44" s="1"/>
  <c r="H32" i="44" s="1"/>
  <c r="H33" i="44" s="1"/>
  <c r="H34" i="44" s="1"/>
  <c r="H35" i="44" s="1"/>
  <c r="H36" i="44" s="1"/>
  <c r="H37" i="44" s="1"/>
  <c r="H38" i="44" s="1"/>
  <c r="H39" i="44" s="1"/>
  <c r="H40" i="44" s="1"/>
  <c r="H41" i="44" s="1"/>
  <c r="H42" i="44" s="1"/>
  <c r="H43" i="44" s="1"/>
  <c r="H44" i="44" s="1"/>
  <c r="H45" i="44" s="1"/>
  <c r="H46" i="44" s="1"/>
  <c r="H47" i="44" s="1"/>
  <c r="J176" i="40"/>
  <c r="J188" i="40" s="1"/>
  <c r="J192" i="40" s="1"/>
  <c r="BI128" i="40"/>
  <c r="BI48" i="40"/>
  <c r="BI123" i="40"/>
  <c r="BI34" i="40"/>
  <c r="BI43" i="40"/>
  <c r="H24" i="32"/>
  <c r="C12" i="28"/>
  <c r="C15" i="28" s="1"/>
  <c r="C17" i="28" s="1"/>
  <c r="P29" i="40"/>
  <c r="BI29" i="40" s="1"/>
  <c r="D39" i="40"/>
  <c r="I1074" i="4"/>
  <c r="B8" i="30" s="1"/>
  <c r="G529" i="5"/>
  <c r="I57" i="16"/>
  <c r="K16" i="30"/>
  <c r="I8" i="30"/>
  <c r="I11" i="30" s="1"/>
  <c r="I22" i="30" s="1"/>
  <c r="I24" i="30" s="1"/>
  <c r="I57" i="8"/>
  <c r="I67" i="8" s="1"/>
  <c r="X105" i="52"/>
  <c r="D108" i="52"/>
  <c r="B18" i="30"/>
  <c r="D136" i="40"/>
  <c r="BI136" i="40" s="1"/>
  <c r="G529" i="41"/>
  <c r="I1074" i="42"/>
  <c r="C8" i="30" s="1"/>
  <c r="C11" i="30" s="1"/>
  <c r="C22" i="30" s="1"/>
  <c r="C24" i="30" s="1"/>
  <c r="E18" i="30"/>
  <c r="N12" i="30"/>
  <c r="X105" i="47"/>
  <c r="D108" i="47"/>
  <c r="D57" i="40"/>
  <c r="BI57" i="40" s="1"/>
  <c r="J15" i="30"/>
  <c r="I48" i="54"/>
  <c r="E8" i="30"/>
  <c r="E11" i="30" s="1"/>
  <c r="I116" i="34"/>
  <c r="I127" i="34" s="1"/>
  <c r="F176" i="40"/>
  <c r="F188" i="40" s="1"/>
  <c r="F192" i="40" s="1"/>
  <c r="N9" i="30"/>
  <c r="AN188" i="40"/>
  <c r="N21" i="29" l="1"/>
  <c r="N23" i="29" s="1"/>
  <c r="I18" i="44"/>
  <c r="I19" i="44" s="1"/>
  <c r="I20" i="44" s="1"/>
  <c r="I21" i="44" s="1"/>
  <c r="I22" i="44" s="1"/>
  <c r="I23" i="44" s="1"/>
  <c r="I24" i="44" s="1"/>
  <c r="I25" i="44" s="1"/>
  <c r="I26" i="44" s="1"/>
  <c r="I27" i="44" s="1"/>
  <c r="I28" i="44" s="1"/>
  <c r="I29" i="44" s="1"/>
  <c r="I30" i="44" s="1"/>
  <c r="I31" i="44" s="1"/>
  <c r="I32" i="44" s="1"/>
  <c r="I33" i="44" s="1"/>
  <c r="I34" i="44" s="1"/>
  <c r="I35" i="44" s="1"/>
  <c r="I36" i="44" s="1"/>
  <c r="I37" i="44" s="1"/>
  <c r="I38" i="44" s="1"/>
  <c r="I39" i="44" s="1"/>
  <c r="I40" i="44" s="1"/>
  <c r="I41" i="44" s="1"/>
  <c r="I42" i="44" s="1"/>
  <c r="I43" i="44" s="1"/>
  <c r="I44" i="44" s="1"/>
  <c r="I45" i="44" s="1"/>
  <c r="I46" i="44" s="1"/>
  <c r="I47" i="44" s="1"/>
  <c r="J17" i="44"/>
  <c r="E22" i="30"/>
  <c r="E24" i="30" s="1"/>
  <c r="B11" i="28"/>
  <c r="D11" i="28" s="1"/>
  <c r="D8" i="28"/>
  <c r="J18" i="30"/>
  <c r="J22" i="30" s="1"/>
  <c r="J24" i="30" s="1"/>
  <c r="N15" i="30"/>
  <c r="I529" i="41"/>
  <c r="G540" i="41"/>
  <c r="G31" i="23"/>
  <c r="C26" i="27"/>
  <c r="I62" i="16"/>
  <c r="C22" i="24" s="1"/>
  <c r="N8" i="30"/>
  <c r="N11" i="30" s="1"/>
  <c r="B11" i="30"/>
  <c r="B22" i="30" s="1"/>
  <c r="D156" i="40"/>
  <c r="BI156" i="40" s="1"/>
  <c r="I132" i="34"/>
  <c r="C9" i="24" s="1"/>
  <c r="C13" i="27"/>
  <c r="G16" i="23"/>
  <c r="C18" i="27"/>
  <c r="I53" i="54"/>
  <c r="C14" i="24" s="1"/>
  <c r="G22" i="23"/>
  <c r="X108" i="47"/>
  <c r="D113" i="47"/>
  <c r="X108" i="52"/>
  <c r="D113" i="52"/>
  <c r="I72" i="8"/>
  <c r="C13" i="24" s="1"/>
  <c r="C17" i="27"/>
  <c r="G21" i="23"/>
  <c r="N16" i="30"/>
  <c r="K18" i="30"/>
  <c r="K22" i="30" s="1"/>
  <c r="K24" i="30" s="1"/>
  <c r="I529" i="5"/>
  <c r="G540" i="5"/>
  <c r="AN192" i="40"/>
  <c r="N18" i="30" l="1"/>
  <c r="K17" i="44"/>
  <c r="J18" i="44"/>
  <c r="J19" i="44" s="1"/>
  <c r="J20" i="44" s="1"/>
  <c r="J21" i="44" s="1"/>
  <c r="J22" i="44" s="1"/>
  <c r="J23" i="44" s="1"/>
  <c r="J24" i="44" s="1"/>
  <c r="J25" i="44" s="1"/>
  <c r="J26" i="44" s="1"/>
  <c r="J27" i="44" s="1"/>
  <c r="J28" i="44" s="1"/>
  <c r="J29" i="44" s="1"/>
  <c r="J30" i="44" s="1"/>
  <c r="J31" i="44" s="1"/>
  <c r="J32" i="44" s="1"/>
  <c r="J33" i="44" s="1"/>
  <c r="J34" i="44" s="1"/>
  <c r="J35" i="44" s="1"/>
  <c r="J36" i="44" s="1"/>
  <c r="J37" i="44" s="1"/>
  <c r="J38" i="44" s="1"/>
  <c r="J39" i="44" s="1"/>
  <c r="J40" i="44" s="1"/>
  <c r="J41" i="44" s="1"/>
  <c r="J42" i="44" s="1"/>
  <c r="J43" i="44" s="1"/>
  <c r="J44" i="44" s="1"/>
  <c r="J45" i="44" s="1"/>
  <c r="J46" i="44" s="1"/>
  <c r="J47" i="44" s="1"/>
  <c r="I540" i="5"/>
  <c r="C77" i="24" s="1"/>
  <c r="G552" i="5"/>
  <c r="D17" i="27"/>
  <c r="I21" i="23"/>
  <c r="D13" i="27"/>
  <c r="I16" i="23"/>
  <c r="B24" i="30"/>
  <c r="I31" i="23"/>
  <c r="D26" i="27"/>
  <c r="D117" i="52"/>
  <c r="X117" i="52" s="1"/>
  <c r="H140" i="53"/>
  <c r="X113" i="52"/>
  <c r="D117" i="47"/>
  <c r="X117" i="47" s="1"/>
  <c r="X113" i="47"/>
  <c r="H140" i="7"/>
  <c r="D18" i="27"/>
  <c r="I22" i="23"/>
  <c r="D176" i="40"/>
  <c r="G550" i="41"/>
  <c r="I540" i="41"/>
  <c r="K18" i="44" l="1"/>
  <c r="K19" i="44" s="1"/>
  <c r="K20" i="44" s="1"/>
  <c r="K21" i="44" s="1"/>
  <c r="K22" i="44" s="1"/>
  <c r="K23" i="44" s="1"/>
  <c r="K24" i="44" s="1"/>
  <c r="K25" i="44" s="1"/>
  <c r="K26" i="44" s="1"/>
  <c r="K27" i="44" s="1"/>
  <c r="K28" i="44" s="1"/>
  <c r="K29" i="44" s="1"/>
  <c r="K30" i="44" s="1"/>
  <c r="K31" i="44" s="1"/>
  <c r="K32" i="44" s="1"/>
  <c r="K33" i="44" s="1"/>
  <c r="K34" i="44" s="1"/>
  <c r="K35" i="44" s="1"/>
  <c r="K36" i="44" s="1"/>
  <c r="K37" i="44" s="1"/>
  <c r="K38" i="44" s="1"/>
  <c r="K39" i="44" s="1"/>
  <c r="K40" i="44" s="1"/>
  <c r="K41" i="44" s="1"/>
  <c r="K42" i="44" s="1"/>
  <c r="K43" i="44" s="1"/>
  <c r="K44" i="44" s="1"/>
  <c r="K45" i="44" s="1"/>
  <c r="K46" i="44" s="1"/>
  <c r="K47" i="44" s="1"/>
  <c r="L17" i="44"/>
  <c r="I550" i="41"/>
  <c r="G556" i="41"/>
  <c r="D188" i="40"/>
  <c r="J140" i="7"/>
  <c r="J151" i="7" s="1"/>
  <c r="J153" i="7" s="1"/>
  <c r="J170" i="7" s="1"/>
  <c r="H151" i="7"/>
  <c r="H153" i="7" s="1"/>
  <c r="H170" i="7" s="1"/>
  <c r="H181" i="7" s="1"/>
  <c r="H186" i="7" s="1"/>
  <c r="J140" i="53"/>
  <c r="J151" i="53" s="1"/>
  <c r="J153" i="53" s="1"/>
  <c r="J170" i="53" s="1"/>
  <c r="H151" i="53"/>
  <c r="H153" i="53" s="1"/>
  <c r="H170" i="53" s="1"/>
  <c r="H181" i="53" s="1"/>
  <c r="H186" i="53" s="1"/>
  <c r="G558" i="5"/>
  <c r="I552" i="5"/>
  <c r="L18" i="44" l="1"/>
  <c r="L19" i="44" s="1"/>
  <c r="L20" i="44" s="1"/>
  <c r="L21" i="44" s="1"/>
  <c r="L22" i="44" s="1"/>
  <c r="L23" i="44" s="1"/>
  <c r="L24" i="44" s="1"/>
  <c r="L25" i="44" s="1"/>
  <c r="L26" i="44" s="1"/>
  <c r="L27" i="44" s="1"/>
  <c r="L28" i="44" s="1"/>
  <c r="L29" i="44" s="1"/>
  <c r="L30" i="44" s="1"/>
  <c r="L31" i="44" s="1"/>
  <c r="L32" i="44" s="1"/>
  <c r="L33" i="44" s="1"/>
  <c r="L34" i="44" s="1"/>
  <c r="L35" i="44" s="1"/>
  <c r="L36" i="44" s="1"/>
  <c r="L37" i="44" s="1"/>
  <c r="L38" i="44" s="1"/>
  <c r="L39" i="44" s="1"/>
  <c r="L40" i="44" s="1"/>
  <c r="L41" i="44" s="1"/>
  <c r="L42" i="44" s="1"/>
  <c r="L43" i="44" s="1"/>
  <c r="L44" i="44" s="1"/>
  <c r="L45" i="44" s="1"/>
  <c r="L46" i="44" s="1"/>
  <c r="L47" i="44" s="1"/>
  <c r="M17" i="44"/>
  <c r="C10" i="27"/>
  <c r="G13" i="23"/>
  <c r="D192" i="40"/>
  <c r="C11" i="27"/>
  <c r="G14" i="23"/>
  <c r="I558" i="5"/>
  <c r="C75" i="24" s="1"/>
  <c r="G562" i="5"/>
  <c r="I562" i="5" s="1"/>
  <c r="C6" i="24" s="1"/>
  <c r="F22" i="30"/>
  <c r="L33" i="40"/>
  <c r="L39" i="40" s="1"/>
  <c r="L176" i="40" s="1"/>
  <c r="L188" i="40" s="1"/>
  <c r="L192" i="40" s="1"/>
  <c r="J181" i="53"/>
  <c r="H22" i="30"/>
  <c r="H24" i="30" s="1"/>
  <c r="J181" i="7"/>
  <c r="P33" i="40"/>
  <c r="I556" i="41"/>
  <c r="G560" i="41"/>
  <c r="I560" i="41" s="1"/>
  <c r="C7" i="24" s="1"/>
  <c r="N17" i="44" l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N31" i="44" s="1"/>
  <c r="N32" i="44" s="1"/>
  <c r="N33" i="44" s="1"/>
  <c r="N34" i="44" s="1"/>
  <c r="N35" i="44" s="1"/>
  <c r="N36" i="44" s="1"/>
  <c r="N37" i="44" s="1"/>
  <c r="N38" i="44" s="1"/>
  <c r="N39" i="44" s="1"/>
  <c r="N40" i="44" s="1"/>
  <c r="N41" i="44" s="1"/>
  <c r="N42" i="44" s="1"/>
  <c r="N43" i="44" s="1"/>
  <c r="N44" i="44" s="1"/>
  <c r="N45" i="44" s="1"/>
  <c r="N46" i="44" s="1"/>
  <c r="N47" i="44" s="1"/>
  <c r="M18" i="44"/>
  <c r="M19" i="44" s="1"/>
  <c r="M20" i="44" s="1"/>
  <c r="M21" i="44" s="1"/>
  <c r="M22" i="44" s="1"/>
  <c r="M23" i="44" s="1"/>
  <c r="M24" i="44" s="1"/>
  <c r="M25" i="44" s="1"/>
  <c r="M26" i="44" s="1"/>
  <c r="M27" i="44" s="1"/>
  <c r="M28" i="44" s="1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M43" i="44" s="1"/>
  <c r="M44" i="44" s="1"/>
  <c r="M45" i="44" s="1"/>
  <c r="M46" i="44" s="1"/>
  <c r="M47" i="44" s="1"/>
  <c r="BI33" i="40"/>
  <c r="J186" i="7"/>
  <c r="C12" i="24" s="1"/>
  <c r="C16" i="27"/>
  <c r="G20" i="23"/>
  <c r="G42" i="23" s="1"/>
  <c r="G18" i="23"/>
  <c r="C14" i="27"/>
  <c r="J186" i="53"/>
  <c r="C10" i="24" s="1"/>
  <c r="F24" i="30"/>
  <c r="N22" i="30"/>
  <c r="P39" i="40"/>
  <c r="BI39" i="40" s="1"/>
  <c r="D11" i="27"/>
  <c r="I14" i="23"/>
  <c r="I13" i="23"/>
  <c r="D10" i="27"/>
  <c r="C35" i="27" l="1"/>
  <c r="P176" i="40"/>
  <c r="BI176" i="40" s="1"/>
  <c r="I20" i="23"/>
  <c r="D16" i="27"/>
  <c r="N24" i="30"/>
  <c r="B12" i="28"/>
  <c r="D14" i="27"/>
  <c r="I18" i="23"/>
  <c r="I42" i="23" l="1"/>
  <c r="D35" i="27"/>
  <c r="D12" i="28"/>
  <c r="B15" i="28"/>
  <c r="P188" i="40"/>
  <c r="BI188" i="40" s="1"/>
  <c r="P192" i="40" l="1"/>
  <c r="BI192" i="40" s="1"/>
  <c r="D15" i="28"/>
  <c r="B17" i="28"/>
  <c r="D17" i="28" s="1"/>
</calcChain>
</file>

<file path=xl/sharedStrings.xml><?xml version="1.0" encoding="utf-8"?>
<sst xmlns="http://schemas.openxmlformats.org/spreadsheetml/2006/main" count="12502" uniqueCount="1786">
  <si>
    <t>Also input these amounts as a positive number here</t>
  </si>
  <si>
    <t>TOTAL ALLOCATIONS (Sum of lines 83-85)</t>
  </si>
  <si>
    <t>22               Governmental Designated-Purpose Grants Fund. . . . . . . . . . . . . . . . . . . . . . . . . . . . . . . . . . . . . . . . .</t>
  </si>
  <si>
    <t>25               Transportation Fund . . . . . . . . . . . . . . . . . . . . . . . . . . . . . . . . . . . . . . . . . . . . . . . . . . . . . . . . . . . . . . . . .</t>
  </si>
  <si>
    <t xml:space="preserve">26-29          Other Special Revenue Funds . . . . . . . . . . . . . . . . . . . . . . . . . . . . . . . . . . . . . . . . . . . . . . . . . . . . . . . . . </t>
  </si>
  <si>
    <t>Cells that are gray are protected cells and can not be modified.</t>
  </si>
  <si>
    <t>You may "Hide" sheets that you are not using - under "Format", "Sheet", "Hide"</t>
  </si>
  <si>
    <t>Be careful that no data is reflected on the hidden sheets.</t>
  </si>
  <si>
    <t>The "Salary Schedule" tab has been added for you to provide your master salary schedule for this workbook.</t>
  </si>
  <si>
    <t>The "Linked Program Codes" lets you know which fund - program combination will be linked to be various fund tab</t>
  </si>
  <si>
    <t>The information on the "Salary Schedule" tab will be available to use on the "Staff Details" tab</t>
  </si>
  <si>
    <t>through the "Staff Details" tab.</t>
  </si>
  <si>
    <t xml:space="preserve">Complete the "Staff Details" tab with staff that meet the valid fund - program combination for linkage to the various </t>
  </si>
  <si>
    <t>TOTAL BEGINNING FUND BALANCE &amp; REVENUES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</si>
  <si>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</si>
  <si>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</si>
  <si>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</si>
  <si>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</si>
  <si>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</si>
  <si>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</si>
  <si>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</si>
  <si>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EXPENDITURES</t>
  </si>
  <si>
    <t>Instruction - Program 0010 to 2099</t>
  </si>
  <si>
    <t xml:space="preserve">  Salaries</t>
  </si>
  <si>
    <t xml:space="preserve">  Employee Benefits</t>
  </si>
  <si>
    <t xml:space="preserve">  Purchased Services</t>
  </si>
  <si>
    <t>Totals</t>
  </si>
  <si>
    <t>4a</t>
  </si>
  <si>
    <t>Transfers Out if reported as an expenditure - Linked from line 4a above</t>
  </si>
  <si>
    <t>Transfers Out if reported as an expenditure - Linked from line 7a above</t>
  </si>
  <si>
    <t>Link of amounts from line 5a above</t>
  </si>
  <si>
    <t>Transfers Out if reported as an expenditure - Linked from line 12a above</t>
  </si>
  <si>
    <t>8a</t>
  </si>
  <si>
    <t>Transfers Out if reported as an expenditure - Linked from line 8a above</t>
  </si>
  <si>
    <t>Transfers Out (as reported on line 5a above)</t>
  </si>
  <si>
    <t>Full Day Kindergarten, Hold Harmless (Grant Code:  0000)</t>
  </si>
  <si>
    <t>Fiscal Emergency Restricted Reserve</t>
  </si>
  <si>
    <t xml:space="preserve">  Fiscal Emergency Restricted Reserve - Program 9330</t>
  </si>
  <si>
    <t>**The Allocation from the General Fund on line 6 must equal the amount on line 85 or line 85a of General Fund Revenues</t>
  </si>
  <si>
    <t>*  Transfers Out are limited to the closing of this fund only.</t>
  </si>
  <si>
    <t>Transfer To________________Fund(s) (input as a positive number on this line) *</t>
  </si>
  <si>
    <t>74a</t>
  </si>
  <si>
    <t>TOTAL EXPENDITURES AND OTHER USES (Sum of lines 39, 73, 74 &amp; 74a)</t>
  </si>
  <si>
    <t>Grant Transfer Activity IN (source code 53xx) - subject to limitations</t>
  </si>
  <si>
    <t>Sum of all Fund 24 program linked Salaries lines</t>
  </si>
  <si>
    <t>Sum of all Fund 24 program linked Benefits lines</t>
  </si>
  <si>
    <t>Programs 0010-4000</t>
  </si>
  <si>
    <r>
      <t xml:space="preserve">Input lines 83 and 85 as a positive number </t>
    </r>
    <r>
      <rPr>
        <b/>
        <sz val="8"/>
        <rFont val="Helv"/>
      </rPr>
      <t>(See NOTE-2 below)</t>
    </r>
  </si>
  <si>
    <t>Allocation to Charter School (fund 11) from General Fund (fund 10) (as a negative amount)</t>
  </si>
  <si>
    <t>Enter tllocation amount on Arbitrage page and Charter School Revenue, Line 84</t>
  </si>
  <si>
    <t>**Note:  The ALLOCATION FROM GENERAL FUND ON LINE 5 MUST BE INCLUDED IN THE AMOUNT ON LINE 83 or LINE 83a OF GENERAL FUND REVENUE</t>
  </si>
  <si>
    <t>9a</t>
  </si>
  <si>
    <t>Transfers Out if reported as an expenditure - Linked from line 9a above</t>
  </si>
  <si>
    <t>Grant Transfer Activity OUT (source code 53xx) - subject to limitations</t>
  </si>
  <si>
    <t>AVAILABLE  BEGINNING FUND BALANCE &amp; REVENUES (Plus or Minus (if Revenue) Allocations and Transfers)</t>
  </si>
  <si>
    <t xml:space="preserve">TABOR Emergency Reserves . . . . . . . . . . . . . . . . . . . . . . . . . . . . . . . . . . . . . . . . . . . . . . . . . . . . . . . . . . . . . . . </t>
  </si>
  <si>
    <t>41               Building Fund . . . . . . . . . . . . . . . . . . . . . . . . . . . . . . . . . . . . . . . . . . . . . . . . . . . . . . . . . . . . . . . . . . . . . . . . . . . .</t>
  </si>
  <si>
    <t>42               Special Building and Technology Fund . . . . . . . . . . . . . . . .. . . . . . . . . . . . . . . . . . . . . . . . . . . . . . . . . . . . . . . . .</t>
  </si>
  <si>
    <t xml:space="preserve">43               Capital Reserve Capital Projects Fund . . . . . . . . . . . . . . . . . . . . . . . . . . . . . . . . . . . . . . . . . . . . . . . . . . . . . . . . . . . . . . . . . . . </t>
  </si>
  <si>
    <t>Summary Information:</t>
  </si>
  <si>
    <t>Enterprise Funds:</t>
  </si>
  <si>
    <t>51              Food Service Fund . . . . . . . . . . . . . . . . . . . . . . . . . . . . . . . . . . . . . . . . . . . . . . . . . . . . . . . . . . . . . . . . . . . . . . . . .</t>
  </si>
  <si>
    <t>Budget Summary Worksheet (District Use Only) . . . . . . . . . . . . . . . . . . . . . . . . . . . . . . . . . . . . . . . . . . . . . . . . .</t>
  </si>
  <si>
    <t>NAME AND TITLE OF PERSON(S) TO CONTACT IN THE EVENT THERE ARE QUESTIONS REGARDING THIS REPORT:</t>
  </si>
  <si>
    <t>NAME</t>
  </si>
  <si>
    <t>TITLE</t>
  </si>
  <si>
    <t>PHONE</t>
  </si>
  <si>
    <t>TOTAL GENERAL HIGH SCHOOL EDUCATION</t>
  </si>
  <si>
    <t>0040 - General Pre-School Education</t>
  </si>
  <si>
    <t>0010 - General Elementary Education</t>
  </si>
  <si>
    <t>0030 - General High School Education</t>
  </si>
  <si>
    <t>0020 - General Middle/Jr. High School Education</t>
  </si>
  <si>
    <t>TOTAL GENERAL MIDDLE/JR.HIGH SCHOOL EDUCATION</t>
  </si>
  <si>
    <t>Community Service</t>
  </si>
  <si>
    <t>1300</t>
  </si>
  <si>
    <t>1973</t>
  </si>
  <si>
    <t>Employee Benefits - staff benefits tab</t>
  </si>
  <si>
    <t>Employee Benefit Premium</t>
  </si>
  <si>
    <t>1974</t>
  </si>
  <si>
    <t>Risk Management</t>
  </si>
  <si>
    <t>TOTAL EXPENSES AND OTHER USES</t>
  </si>
  <si>
    <t>0700-0739</t>
  </si>
  <si>
    <t>Property/Equipment</t>
  </si>
  <si>
    <t>1400</t>
  </si>
  <si>
    <t>Transportation Fees</t>
  </si>
  <si>
    <t>1975</t>
  </si>
  <si>
    <t>Print Shop Services</t>
  </si>
  <si>
    <t>1976</t>
  </si>
  <si>
    <t>1977</t>
  </si>
  <si>
    <t>1978</t>
  </si>
  <si>
    <t>1979</t>
  </si>
  <si>
    <t>Technology Services</t>
  </si>
  <si>
    <t>Warehouse Services</t>
  </si>
  <si>
    <t>Maintenance Services</t>
  </si>
  <si>
    <t>REVENUE FROM INTERMEDIATE (COUNTY) SOURCES</t>
  </si>
  <si>
    <t>2000</t>
  </si>
  <si>
    <t>REVENUE FROM STATE SOURCES</t>
  </si>
  <si>
    <t>3110</t>
  </si>
  <si>
    <t>3120</t>
  </si>
  <si>
    <t>3130</t>
  </si>
  <si>
    <t>3140</t>
  </si>
  <si>
    <t>3150</t>
  </si>
  <si>
    <t>3160</t>
  </si>
  <si>
    <t>3300</t>
  </si>
  <si>
    <t>REVENUE FROM FEDERAL SOURCES</t>
  </si>
  <si>
    <t>52XX</t>
  </si>
  <si>
    <t>School District</t>
  </si>
  <si>
    <t>Fund 18:  INSURANCE RESERVE FUND</t>
  </si>
  <si>
    <t>18               Insurance Reserve Special Revenue Fund. . . . . . . . . . . . . . . . . . . . . . . . . . . . . . . . . . . . . . . . . . . . . . . . . . . . . . .</t>
  </si>
  <si>
    <t>Fund 10:  GENERAL FUND EXPENDITURES</t>
  </si>
  <si>
    <t>Program</t>
  </si>
  <si>
    <t>OTHER</t>
  </si>
  <si>
    <t>TOTAL</t>
  </si>
  <si>
    <t>1700</t>
  </si>
  <si>
    <t>3210-3280</t>
  </si>
  <si>
    <t>Certificates of Participation</t>
  </si>
  <si>
    <t>Return of State Categoricals ("categorical buyout") - (enter amount as negative)</t>
  </si>
  <si>
    <t>INSTRUCTION PROGRAM CODES</t>
  </si>
  <si>
    <t>Purchased Professional &amp; Technical Services</t>
  </si>
  <si>
    <t>Purchased Property Services</t>
  </si>
  <si>
    <t>0430</t>
  </si>
  <si>
    <t>Repairs &amp; Maintenance Services</t>
  </si>
  <si>
    <t>0442</t>
  </si>
  <si>
    <t>Rental of Equipment</t>
  </si>
  <si>
    <t>Other Purchased Services</t>
  </si>
  <si>
    <t>0511</t>
  </si>
  <si>
    <t>0512</t>
  </si>
  <si>
    <t>0513</t>
  </si>
  <si>
    <t>0514</t>
  </si>
  <si>
    <t>0515</t>
  </si>
  <si>
    <t>0516</t>
  </si>
  <si>
    <t>0517</t>
  </si>
  <si>
    <t>0519</t>
  </si>
  <si>
    <t>Student Transportation Purchased Within the BOCES or AU</t>
  </si>
  <si>
    <t>Contracted Field Trips</t>
  </si>
  <si>
    <t>Student Transportation Purchased from Parents</t>
  </si>
  <si>
    <t>Student Transportation Purchased from Contractors</t>
  </si>
  <si>
    <t>Student Transportation Purchased from School District Outside the State</t>
  </si>
  <si>
    <t>TOTAL ENGLISH LANGUAGE ARTS</t>
  </si>
  <si>
    <t>0600 - Foreign Languages</t>
  </si>
  <si>
    <t>TOTAL FOREIGN LANGUAGES</t>
  </si>
  <si>
    <t>0700 - Health Occupations Education</t>
  </si>
  <si>
    <t>TOTAL HEALTH OCCUPATIONS EDUCATION</t>
  </si>
  <si>
    <t>0800 - Physical Curriculum</t>
  </si>
  <si>
    <t>TOTAL PHYSICAL CURRICULUM</t>
  </si>
  <si>
    <t>0900 - Family &amp; Consumer Education</t>
  </si>
  <si>
    <t>TOTAL FAMILY &amp; CONSUMER EDUCATION</t>
  </si>
  <si>
    <t>5. Allocation from General Fund</t>
  </si>
  <si>
    <t>7. TOTAL REVENUE (Sum of lines 1-5)</t>
  </si>
  <si>
    <t>8. TOTAL REVENUE INCLUDING BEGINNING FUND BALANCE (Sum of Line 6 and BFB)</t>
  </si>
  <si>
    <t>9. Expenditures/Expenses</t>
  </si>
  <si>
    <t xml:space="preserve">      ---LINE 14 MUST EQUAL LINE 8---</t>
  </si>
  <si>
    <t>LINE 8</t>
  </si>
  <si>
    <t>Services Purchased from Other Colorado Districts or BOCES or AU</t>
  </si>
  <si>
    <t>Services Purchased from School Districts Outside the State</t>
  </si>
  <si>
    <t>Purchased Services from Districts by Charter Schools</t>
  </si>
  <si>
    <t>Supplies</t>
  </si>
  <si>
    <t>Books and Periodicals</t>
  </si>
  <si>
    <t>0721</t>
  </si>
  <si>
    <t>0722</t>
  </si>
  <si>
    <t>Property</t>
  </si>
  <si>
    <t>Land and Improvements</t>
  </si>
  <si>
    <t>Buildings</t>
  </si>
  <si>
    <t>See Note Below Regarding Source Codes for Federal Funds</t>
  </si>
  <si>
    <t>FEDERAL FUND REVENUE SOURCE CODES</t>
  </si>
  <si>
    <t>Equipment</t>
  </si>
  <si>
    <t>See Fund 70</t>
  </si>
  <si>
    <t>PROGRAMS 2100-3400</t>
  </si>
  <si>
    <t>See Fund 64</t>
  </si>
  <si>
    <t>70                      Fiduciary: Trust and Other Agency Funds: 70, 72, 73, 75-78</t>
  </si>
  <si>
    <t>See Fund 31</t>
  </si>
  <si>
    <t>Vehicles</t>
  </si>
  <si>
    <t>Non-Capital Equipment</t>
  </si>
  <si>
    <t>Depreciation</t>
  </si>
  <si>
    <t>0810</t>
  </si>
  <si>
    <t>0850</t>
  </si>
  <si>
    <t>0851</t>
  </si>
  <si>
    <t>0868</t>
  </si>
  <si>
    <t>Other Objects</t>
  </si>
  <si>
    <t>Dues and Fees</t>
  </si>
  <si>
    <t>Internal Charge/Reimbursement Accounts</t>
  </si>
  <si>
    <t>Transportation/Field Trips</t>
  </si>
  <si>
    <t>Overhead Costs</t>
  </si>
  <si>
    <t>Indirect Costs</t>
  </si>
  <si>
    <t>TOTAL GENERAL ELEMENTARY EDUCATION</t>
  </si>
  <si>
    <t>Tuition Paid to Other Colorado Districts, BOCES or AU</t>
  </si>
  <si>
    <t>Services Purchased from Other Colorado Districts, BOCES or AU</t>
  </si>
  <si>
    <t>Student Transportation Purchased from Other Colorado Districts, BOCES or AU</t>
  </si>
  <si>
    <t>Student Transportation In-service</t>
  </si>
  <si>
    <t>Allocation to CPP Fund (fund 19)</t>
  </si>
  <si>
    <t>Tuition to Agencies with Colorado Dept. of Ed. - Approved Rates</t>
  </si>
  <si>
    <t>State Share (Equalization) Withholding for Out-of-District Placed Pupils</t>
  </si>
  <si>
    <t>Figures (Totals) which will appear on Budget Form to Submit to CDE</t>
  </si>
  <si>
    <t>Record Inceases to revenue are positive amounts and Decreases as negatives</t>
  </si>
  <si>
    <t>Fund 21:  CAPITAL RESERVE SPECIAL REVENUE FUND</t>
  </si>
  <si>
    <t>Codes:</t>
  </si>
  <si>
    <t>REVENUE AND OTHER SOURCES</t>
  </si>
  <si>
    <t>5600</t>
  </si>
  <si>
    <t>Object</t>
  </si>
  <si>
    <t>EXPENDITURES AND OTHER USES</t>
  </si>
  <si>
    <t>0710</t>
  </si>
  <si>
    <t>0720</t>
  </si>
  <si>
    <t>0732</t>
  </si>
  <si>
    <t>Grant/Project Code</t>
  </si>
  <si>
    <t>STATE FUNDS NOT IN OTHER FUNDS</t>
  </si>
  <si>
    <t>1140-1190</t>
  </si>
  <si>
    <t>Property Taxes</t>
  </si>
  <si>
    <t>Other Taxes</t>
  </si>
  <si>
    <t>Other Local Sources</t>
  </si>
  <si>
    <t>Charter School Capital Construction</t>
  </si>
  <si>
    <t>3XXX</t>
  </si>
  <si>
    <t>Other State Sources</t>
  </si>
  <si>
    <t>Other Revenue</t>
  </si>
  <si>
    <t>TOTAL REVENUE (Sum of lines 1-6)</t>
  </si>
  <si>
    <t>TOTAL REVENUE INCLUDING BEGINNING FUND BALANCE (Sum of line 7 and BFB)</t>
  </si>
  <si>
    <t>Other Internal Services</t>
  </si>
  <si>
    <t>Other Revenue (includes increases in assets)</t>
  </si>
  <si>
    <t>SUPPORT PROGRAMS - 2100 THROUGH 3400</t>
  </si>
  <si>
    <t>Other Revenue From Local and Intermediate Sources</t>
  </si>
  <si>
    <t>TOTAL REVENUE (Sum of lines 1-3)</t>
  </si>
  <si>
    <t>TOTAL GENERAL PRE-SCHOOL EDUCATION</t>
  </si>
  <si>
    <t>0050 - General Post-Secondary Education</t>
  </si>
  <si>
    <t>TOTAL GENERAL POST-SECONDARY EDUCATION</t>
  </si>
  <si>
    <t>0060 - Integrated Education</t>
  </si>
  <si>
    <t>TOTAL INTEGRATED EDUCATION</t>
  </si>
  <si>
    <t>0080 - General Instructional Media</t>
  </si>
  <si>
    <t>TOTAL GIFTED &amp; TALENTED EDUCATION</t>
  </si>
  <si>
    <t>TOTAL GENERAL INSTRUCTIONAL MEDIA</t>
  </si>
  <si>
    <t>Salaries - from staff details tab</t>
  </si>
  <si>
    <t>Employee Benefits - staff tab</t>
  </si>
  <si>
    <t>Salaries - additional items (not from the Staff Details Tab)</t>
  </si>
  <si>
    <t>Employees Benefits - addl items (not from the Staff Details Tab)</t>
  </si>
  <si>
    <t>Salaries and Benefits for Services Provided By District Personnel (not from Staff Details Tab)</t>
  </si>
  <si>
    <t>1900 - Cocurricular Activities - Nonathletic</t>
  </si>
  <si>
    <t>Employee Benefits - from staff details tab</t>
  </si>
  <si>
    <t>0090 - Other General Education</t>
  </si>
  <si>
    <t>TOTAL OTHER GENERAL EDUCATION</t>
  </si>
  <si>
    <t>TOTAL AGRICULTURE EDUCATION</t>
  </si>
  <si>
    <t>0100 - Agriculture</t>
  </si>
  <si>
    <t>HIGH SCHOOL SUBJECT LEVEL</t>
  </si>
  <si>
    <t>0200 - Art</t>
  </si>
  <si>
    <t>TOTAL ART EDUCATION</t>
  </si>
  <si>
    <t>0300 - Business</t>
  </si>
  <si>
    <t>TOTAL BUSINESS EDUCATION</t>
  </si>
  <si>
    <t>0400 - Distributive/Marketing Education</t>
  </si>
  <si>
    <t>TOTAL DISTRIBUTIVE/MARKETING EDUCATION</t>
  </si>
  <si>
    <t>0500 - English Language Arts</t>
  </si>
  <si>
    <t>0300-0599</t>
  </si>
  <si>
    <t>0710-0719</t>
  </si>
  <si>
    <t>0720-0729</t>
  </si>
  <si>
    <t>0730-0739</t>
  </si>
  <si>
    <t>0740-0799</t>
  </si>
  <si>
    <t>37.</t>
  </si>
  <si>
    <t>38.</t>
  </si>
  <si>
    <t>TOTAL INSTRUCTIONAL AND SUPPORT SERVICES EXPENDITURES</t>
  </si>
  <si>
    <t>1190</t>
  </si>
  <si>
    <t>Current Property Taxes</t>
  </si>
  <si>
    <t>Specific Ownership Taxes</t>
  </si>
  <si>
    <t>Sales and Use Taxes</t>
  </si>
  <si>
    <t>District Multiple-Coverage &amp;/or Other Insurance - Program Code 2850 (or 2800)</t>
  </si>
  <si>
    <t>0051 - Programs for Adult/Continuing</t>
  </si>
  <si>
    <t>TOTAL PROGRAMS FOR ADULT/CONTINUING</t>
  </si>
  <si>
    <t>2220 - Educational Library Services</t>
  </si>
  <si>
    <t>TOTAL EDUCATIONAL LIBRARY SERVICES</t>
  </si>
  <si>
    <t>Allocation to CPKP Fund (fund 19)</t>
  </si>
  <si>
    <t>3220 - Enterprise Non-Instructional Programs</t>
  </si>
  <si>
    <t>3210 - Enterprise Instructional Programs</t>
  </si>
  <si>
    <t>Line</t>
  </si>
  <si>
    <t>Current Year Allocation</t>
  </si>
  <si>
    <t>2a</t>
  </si>
  <si>
    <t>2b</t>
  </si>
  <si>
    <t>Prior Year Carryover</t>
  </si>
  <si>
    <t>3a</t>
  </si>
  <si>
    <t>Purchased Professional &amp; Technical Services (0300)</t>
  </si>
  <si>
    <t>Other Purchased Services (0500)</t>
  </si>
  <si>
    <t>Supplies (0600)</t>
  </si>
  <si>
    <t>Other (0800)</t>
  </si>
  <si>
    <t>Purchased Property Services (0400)</t>
  </si>
  <si>
    <t>32a</t>
  </si>
  <si>
    <t>Property (0730) (Capitalized)</t>
  </si>
  <si>
    <t>32b</t>
  </si>
  <si>
    <t>Property (0735) (Non-capitalized)</t>
  </si>
  <si>
    <t>Schoolwide Programs</t>
  </si>
  <si>
    <t>35a</t>
  </si>
  <si>
    <t>35b</t>
  </si>
  <si>
    <t>Property (0735) (non-capitalized) (not including line 32b)</t>
  </si>
  <si>
    <t>35c</t>
  </si>
  <si>
    <t>Input the Grant Code on row 3 and the description on row 4</t>
  </si>
  <si>
    <t>Less line 32a Property (0730) (Capitalized)</t>
  </si>
  <si>
    <t>35d</t>
  </si>
  <si>
    <t>Subtotal Direct Costs (lines 35a + line 35b + line 35c)</t>
  </si>
  <si>
    <t>37a</t>
  </si>
  <si>
    <t>38a</t>
  </si>
  <si>
    <t>Property-(0730) (Capitalized) (not including line 32a)</t>
  </si>
  <si>
    <r>
      <t xml:space="preserve">Total Funds Available </t>
    </r>
    <r>
      <rPr>
        <b/>
        <sz val="6"/>
        <rFont val="Arial"/>
        <family val="2"/>
      </rPr>
      <t>(lines 1, 2 ,3)</t>
    </r>
  </si>
  <si>
    <r>
      <t xml:space="preserve">Subtotal Support Program </t>
    </r>
    <r>
      <rPr>
        <b/>
        <sz val="6"/>
        <rFont val="Arial"/>
        <family val="2"/>
      </rPr>
      <t>(lines 12 through 18)</t>
    </r>
  </si>
  <si>
    <r>
      <t xml:space="preserve">Subtotal Improvement of Instructional Services </t>
    </r>
    <r>
      <rPr>
        <b/>
        <sz val="6"/>
        <rFont val="Arial"/>
        <family val="2"/>
      </rPr>
      <t>(lines 20 through 25)</t>
    </r>
  </si>
  <si>
    <r>
      <t xml:space="preserve">Subtotal Administration </t>
    </r>
    <r>
      <rPr>
        <b/>
        <sz val="6"/>
        <rFont val="Arial"/>
        <family val="2"/>
      </rPr>
      <t>(lines 27 through 32)</t>
    </r>
  </si>
  <si>
    <r>
      <t xml:space="preserve">Subtotal Program Costs </t>
    </r>
    <r>
      <rPr>
        <b/>
        <sz val="6"/>
        <rFont val="Arial"/>
        <family val="2"/>
      </rPr>
      <t>(lines 11, 19, 26, 33, 34)</t>
    </r>
  </si>
  <si>
    <r>
      <t xml:space="preserve">Total Budget </t>
    </r>
    <r>
      <rPr>
        <b/>
        <sz val="6"/>
        <rFont val="Arial"/>
        <family val="2"/>
      </rPr>
      <t>(lines 32, 35, 37 or 37a, 38)</t>
    </r>
  </si>
  <si>
    <r>
      <t xml:space="preserve">Total Funds Available </t>
    </r>
    <r>
      <rPr>
        <sz val="8"/>
        <rFont val="Arial"/>
        <family val="2"/>
      </rPr>
      <t>(repeated from above)</t>
    </r>
  </si>
  <si>
    <r>
      <t>Difference</t>
    </r>
    <r>
      <rPr>
        <sz val="8"/>
        <rFont val="Arial"/>
        <family val="2"/>
      </rPr>
      <t xml:space="preserve"> - Line 4 less line 39</t>
    </r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</si>
  <si>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</si>
  <si>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</si>
  <si>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</si>
  <si>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</si>
  <si>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</si>
  <si>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</si>
  <si>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</si>
  <si>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</si>
  <si>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</si>
  <si>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</si>
  <si>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</si>
  <si>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f13</t>
  </si>
  <si>
    <t>f14</t>
  </si>
  <si>
    <t>f15</t>
  </si>
  <si>
    <t>f16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</si>
  <si>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</si>
  <si>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</si>
  <si>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</si>
  <si>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</si>
  <si>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</si>
  <si>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</si>
  <si>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</si>
  <si>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</si>
  <si>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</si>
  <si>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</si>
  <si>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</si>
  <si>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</si>
  <si>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</si>
  <si>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TOTAL ENTERPRISE INSTRUCTIONAL PROGRAMS</t>
  </si>
  <si>
    <t>TOTAL ENTERPRISE NON-INSTRUCTIONAL PROGRAMS</t>
  </si>
  <si>
    <t>0595</t>
  </si>
  <si>
    <t>* Transfers out of Bond Redemption Fund are not allowed unless all obligations of bonded indebtedness have been satisfied.  State Statute 22-54-108(3)(d)(II)(B) allows for Bond Redemption S.O. Tax to be budgeted for spending in another fund. S.O. Tax receipts must be recorded as a deposit to the receiving fund.</t>
  </si>
  <si>
    <t>1000 - Industrial Arts/Technology Education</t>
  </si>
  <si>
    <t>1a</t>
  </si>
  <si>
    <t>1a. Insurance Reserve Special Revenue Fund</t>
  </si>
  <si>
    <t>1b. Pre-School Fund</t>
  </si>
  <si>
    <t>1b</t>
  </si>
  <si>
    <t>2. ARRA (Federal Stimulus Funding) Grants Fund</t>
  </si>
  <si>
    <t>3. Capital Reserve Special Revenue Fund</t>
  </si>
  <si>
    <t>4. Governmental Designated-Purpose Grants Fund</t>
  </si>
  <si>
    <t>5. Pupil Activity Special Revenue Fund</t>
  </si>
  <si>
    <t>7. Transportation Fund</t>
  </si>
  <si>
    <t>20
 ARRA (Federal Stimulus Funding) Grants Fund</t>
  </si>
  <si>
    <t>24
Full-Day Kindergarten Mill Levy Override</t>
  </si>
  <si>
    <t>Fund 24 : Full-Day Kindergarten Mill Levy Override Fund</t>
  </si>
  <si>
    <t>24               Full-Day Kindergarten Mill Levy Override Fund.           . . . . . . . . . . . . . . . . . . . . . . . . . . . . . . . . . . . . . .</t>
  </si>
  <si>
    <t>6.  Full-Day Kindergarten Mill Levy Override Fund</t>
  </si>
  <si>
    <t>8. Other Special Revenue Funds</t>
  </si>
  <si>
    <t>9. Bond Redemption Fund</t>
  </si>
  <si>
    <t>10. Building Fund</t>
  </si>
  <si>
    <t>11. Special Building and Technology Fund</t>
  </si>
  <si>
    <t>12. Capital Reserve Capital Projects Fund</t>
  </si>
  <si>
    <t>13. Food Service Fund</t>
  </si>
  <si>
    <t>14. Other Enterprise Funds</t>
  </si>
  <si>
    <t>15. Risk-Related Activity Fund</t>
  </si>
  <si>
    <t>16. Other Internal Service Funds</t>
  </si>
  <si>
    <t>17. Pupil Activity Agency Fund</t>
  </si>
  <si>
    <t>18. Trust and Other Agency Funds</t>
  </si>
  <si>
    <t>19. Foundation Fund</t>
  </si>
  <si>
    <t>20. Component Units</t>
  </si>
  <si>
    <t>6. Full-Day Kindergarten Mill Levy Override Fund</t>
  </si>
  <si>
    <t>11. Special Building &amp; Technology Fund</t>
  </si>
  <si>
    <t>17. Pupil Activity Agency Funds</t>
  </si>
  <si>
    <t>18. Trust &amp; Agency Funds</t>
  </si>
  <si>
    <t>20. TOTAL (Sum of lines 1-19)</t>
  </si>
  <si>
    <t>19. Foundations &amp; Component Units</t>
  </si>
  <si>
    <t>Provide if required</t>
  </si>
  <si>
    <t xml:space="preserve">Component
Units </t>
  </si>
  <si>
    <t>FULL DAY KINDERGARTEN MILL LEVY OVERRIDE FUND</t>
  </si>
  <si>
    <t>COMPONENT UNITS (Arbitrage Page)</t>
  </si>
  <si>
    <t>*State Statute prohibits the transfer of funds out of the Full Day Kindergarten Mill Levy Override Fund</t>
  </si>
  <si>
    <t>TOTAL INDUSTRIAL ARTS/TECHNOLOGY EDUCATION</t>
  </si>
  <si>
    <t>1100 - Mathematics</t>
  </si>
  <si>
    <t>TOTAL MATHEMATICS</t>
  </si>
  <si>
    <t>1200 - Music</t>
  </si>
  <si>
    <t>TOTAL MUSIC</t>
  </si>
  <si>
    <t>TOTAL NATURAL SCIENCE</t>
  </si>
  <si>
    <t>1300 - Natural Science</t>
  </si>
  <si>
    <t>1400 - Office Occupations</t>
  </si>
  <si>
    <t>TOTAL OFFICE OCCUPATIONS</t>
  </si>
  <si>
    <t>1500 - Social Science</t>
  </si>
  <si>
    <t>TOTAL SOCIAL SCIENCES</t>
  </si>
  <si>
    <t>1600 - Technical Education/Computer Technology</t>
  </si>
  <si>
    <t>TOTAL TECHNICAL EDUCATION/COMPUTER TECHNOLOGY</t>
  </si>
  <si>
    <t>TOTAL SPECIAL EDUCATION</t>
  </si>
  <si>
    <t>1800 - Cocurricular Activities - Athletic/Sport</t>
  </si>
  <si>
    <t>TOTAL COCURRICULAR ACTIVITIES - ATHLETIC/SPORT</t>
  </si>
  <si>
    <t>4000</t>
  </si>
  <si>
    <t>TOTAL EXPENDITURES</t>
  </si>
  <si>
    <t>OTHER USES</t>
  </si>
  <si>
    <t>RESERVES</t>
  </si>
  <si>
    <t>Difference must = 0</t>
  </si>
  <si>
    <t>TOTAL REVENUE FROM FEDERAL SOURCES (Sum of lines 64-74)</t>
  </si>
  <si>
    <t>TOTAL REVENUE FROM OTHER SOURCES (Sum of lines 76-80)</t>
  </si>
  <si>
    <t>TOTAL GENERAL FUND REVENUE FOR ALL SOURCES (Sum of lines 39,40,63,75,80)</t>
  </si>
  <si>
    <t>TOTAL GENERAL FUND REVENUE INCLUDING BEGINNING FUND BALANCE (Sum of line 81 plus BFB)</t>
  </si>
  <si>
    <t>82</t>
  </si>
  <si>
    <t>83</t>
  </si>
  <si>
    <t>84</t>
  </si>
  <si>
    <t>85</t>
  </si>
  <si>
    <t>86</t>
  </si>
  <si>
    <t>87</t>
  </si>
  <si>
    <t>TOTAL ALLOCATIONS (Sum of lines83-85)</t>
  </si>
  <si>
    <t>NET REVENUE (Line 82 minus line 86)</t>
  </si>
  <si>
    <t>TOTAL REVENUE (sum of lines 1 - 7)</t>
  </si>
  <si>
    <t>Expenditure Detail Totals for Budget Form to Submit to CDE:</t>
  </si>
  <si>
    <t>Education for Adults - Program 3400</t>
  </si>
  <si>
    <t>Equipment (including unlicensed vehicles)</t>
  </si>
  <si>
    <t>Licensed Vehicles (e.g., buses and vans)</t>
  </si>
  <si>
    <t>SUPPORT PROGRAMS - 2100 THROUGH 4000</t>
  </si>
  <si>
    <t>Purchased Property Services (Includes amounts paid for minor renovating and remodeling facilities)</t>
  </si>
  <si>
    <t>Interest</t>
  </si>
  <si>
    <t>Redemption of Principal</t>
  </si>
  <si>
    <t>OTHER USES - DEBT SERVICE PROGRAM 5100</t>
  </si>
  <si>
    <t>TOTAL GRANTS NOT IN OTHER FUNDS</t>
  </si>
  <si>
    <t>Note:  If applicable, INDIRECT COSTS are included in the anticipated expenditures for each grant/project.</t>
  </si>
  <si>
    <t>Fund 23:  PUPIL ACTIVITY SPECIAL REVENUE FUND</t>
  </si>
  <si>
    <t>(1)</t>
  </si>
  <si>
    <t>(2)</t>
  </si>
  <si>
    <t>GENERAL FUND</t>
  </si>
  <si>
    <t>Fund 25:  TRANSPORTATION FUND</t>
  </si>
  <si>
    <t>0100-0199</t>
  </si>
  <si>
    <t>0200-0299</t>
  </si>
  <si>
    <t>0300-0399</t>
  </si>
  <si>
    <t>0400-0499</t>
  </si>
  <si>
    <t>0500-0599</t>
  </si>
  <si>
    <t>0600-0699</t>
  </si>
  <si>
    <t>0800-0899</t>
  </si>
  <si>
    <t>Funds 26-29:  OTHER SPECIAL REVENUE FUNDS</t>
  </si>
  <si>
    <t>Fund 31:  BOND REDEMPTION FUND</t>
  </si>
  <si>
    <t xml:space="preserve"> </t>
  </si>
  <si>
    <t>0910</t>
  </si>
  <si>
    <t>0830</t>
  </si>
  <si>
    <t>Note:  If district is holding a bond election during year, district may budget as if election will pass OR may choose to file a supplemental appropriation after bond election passes.</t>
  </si>
  <si>
    <t>Fund 41:  BUILDING FUND</t>
  </si>
  <si>
    <t>Code:</t>
  </si>
  <si>
    <t>1000-2999 (not 1500)</t>
  </si>
  <si>
    <t>3000-3999</t>
  </si>
  <si>
    <t>4000-4999</t>
  </si>
  <si>
    <t>0100-0299</t>
  </si>
  <si>
    <t>Transportation Fees From Individuals</t>
  </si>
  <si>
    <t>Earnings on Investments</t>
  </si>
  <si>
    <t>Community Service Activities</t>
  </si>
  <si>
    <t>Charter School Revenue</t>
  </si>
  <si>
    <t>Instructional Materials Fees</t>
  </si>
  <si>
    <t>Services Provided within BOCES: local</t>
  </si>
  <si>
    <t>Serivces Provided other Colorado BOCES of Districts: local</t>
  </si>
  <si>
    <t>Services Provided other Units: local</t>
  </si>
  <si>
    <t>Parking Fees</t>
  </si>
  <si>
    <t>TOTAL REVENUE FROM INTERMEDIATE (COUNTY) SOURCES</t>
  </si>
  <si>
    <t>State Equalization</t>
  </si>
  <si>
    <t>Capital Construction</t>
  </si>
  <si>
    <t>Charter School Capital Constrcution</t>
  </si>
  <si>
    <t>Vocational Education</t>
  </si>
  <si>
    <t>Exceptional Children's Education Act (ECEA)</t>
  </si>
  <si>
    <t>English Language Proficiency Act (ELPA)</t>
  </si>
  <si>
    <t xml:space="preserve"> Gifted and Talented (ECEA)</t>
  </si>
  <si>
    <t xml:space="preserve"> Transportation</t>
  </si>
  <si>
    <t>Teacher Pay Incentive</t>
  </si>
  <si>
    <t>Service Provided within the BOCES: State Level</t>
  </si>
  <si>
    <t xml:space="preserve"> Services Provided Other Colorado Districts or BOCES: State Level</t>
  </si>
  <si>
    <t>Purchased Services from Districts by Charter Schools (5% Administrative)</t>
  </si>
  <si>
    <t>Lease Holding Improvements</t>
  </si>
  <si>
    <t>New Construction</t>
  </si>
  <si>
    <t>0723</t>
  </si>
  <si>
    <t>23</t>
  </si>
  <si>
    <t>Major Renovations</t>
  </si>
  <si>
    <t>24</t>
  </si>
  <si>
    <t>25</t>
  </si>
  <si>
    <t>26</t>
  </si>
  <si>
    <t>27</t>
  </si>
  <si>
    <t>a2</t>
  </si>
  <si>
    <t>a3</t>
  </si>
  <si>
    <t>Full Day Kindergarten Mill Levy Override Fund</t>
  </si>
  <si>
    <t>q</t>
  </si>
  <si>
    <t>Fioundation Funds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</si>
  <si>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</si>
  <si>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</si>
  <si>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</si>
  <si>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</si>
  <si>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</si>
  <si>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</si>
  <si>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</si>
  <si>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</si>
  <si>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</si>
  <si>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</si>
  <si>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</si>
  <si>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</si>
  <si>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</si>
  <si>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</si>
  <si>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</si>
  <si>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</si>
  <si>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</si>
  <si>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</si>
  <si>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</si>
  <si>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</si>
  <si>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</si>
  <si>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</si>
  <si>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</si>
  <si>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TOTAL EXPENDITURES AND OTHER USES (Sum of lines 28,40,43)</t>
  </si>
  <si>
    <t>Total Instructional Program Expenditures (Sum of lines 18-27)</t>
  </si>
  <si>
    <t>Total Support Program Expenditures (Sum of lines 29-39)</t>
  </si>
  <si>
    <t>TOTAL CAPITAL RESERVE FUND EXPENDITURES AND APPROPRIATED RESERVES (Sum of lines 44 &amp; 50)</t>
  </si>
  <si>
    <t>1910</t>
  </si>
  <si>
    <t>1920</t>
  </si>
  <si>
    <t>1930</t>
  </si>
  <si>
    <t>Rentals/Leases</t>
  </si>
  <si>
    <t>Contributions and Donations for Private Sources</t>
  </si>
  <si>
    <t>Salaries - additional items</t>
  </si>
  <si>
    <t>Employee Benefits - addl items</t>
  </si>
  <si>
    <t>Sale of Fixed Assets</t>
  </si>
  <si>
    <t>1954</t>
  </si>
  <si>
    <t>Services Provided Charter Schools: local</t>
  </si>
  <si>
    <t>3954</t>
  </si>
  <si>
    <t>TOTAL REVENUE FROM LOCAL SOURCES (Sum of lines 1-38)</t>
  </si>
  <si>
    <t>TOTAL NET REVENUE FROM STATE SOURCES (Sum of lines 41-62)</t>
  </si>
  <si>
    <t>4954</t>
  </si>
  <si>
    <t>Services Provided Charter Schools: State Level</t>
  </si>
  <si>
    <t>Services Provided Charter Schools: Federal Level</t>
  </si>
  <si>
    <t>Transportation Fees from Other Colorado Districts or BOCES (or AU)</t>
  </si>
  <si>
    <t>1430</t>
  </si>
  <si>
    <t>Transportation Fees from School Districts Outside the State</t>
  </si>
  <si>
    <t>1440</t>
  </si>
  <si>
    <t>Transportation Fees from Other Sources</t>
  </si>
  <si>
    <t>1490</t>
  </si>
  <si>
    <t>Other Transportation Fees</t>
  </si>
  <si>
    <t>Transportation Fees from WITHIN the BOCES (or AU)</t>
  </si>
  <si>
    <t>1600</t>
  </si>
  <si>
    <t>Food Services</t>
  </si>
  <si>
    <t>Pupil Activities</t>
  </si>
  <si>
    <t>1740</t>
  </si>
  <si>
    <t>Fees</t>
  </si>
  <si>
    <t>3116</t>
  </si>
  <si>
    <t>School Construction and Renovation Project</t>
  </si>
  <si>
    <t>5500</t>
  </si>
  <si>
    <t>5400</t>
  </si>
  <si>
    <t>Capital Leases</t>
  </si>
  <si>
    <t>0632</t>
  </si>
  <si>
    <t>note: fund 63 may be used as an other risk-related activity fund. It will roll into fund 64 if used.</t>
  </si>
  <si>
    <t>Funds 61-62 and 65-69:  OTHER INTERNAL SERVICE FUNDS</t>
  </si>
  <si>
    <t>Fund 42:  SPECIAL BUILDING AND TECHNOLOGY FUND</t>
  </si>
  <si>
    <t>Fund 43:  CAPITAL RESERVE CAPITAL PROJECTS FUND</t>
  </si>
  <si>
    <t xml:space="preserve">     Total Education for Adults Services</t>
  </si>
  <si>
    <t>Fund 11: CHARTER FUND REVENUE</t>
  </si>
  <si>
    <t>Fund 11:  CHARTER FUND EXPENDITURES</t>
  </si>
  <si>
    <t>Fund 11: CHARTER FUND EXPENDITURES</t>
  </si>
  <si>
    <t>0750-0799</t>
  </si>
  <si>
    <t>TOTAL EXPENDITURES AND OTHER USES(Sum of lines 11 - 24)</t>
  </si>
  <si>
    <t>TOTAL APPROPRIATED RESERVES (Sum of 26 - 30)</t>
  </si>
  <si>
    <t>TOTAL BUILDING FUND EXPENDITURES AND APPROPRIATED RESERVES (Sum of lines 25 &amp; 31)</t>
  </si>
  <si>
    <t>Total Instructional Program Expenditures (Sum of lines 18-32)</t>
  </si>
  <si>
    <t>Total Support Program Expenditures (Sum of lines 34-48)</t>
  </si>
  <si>
    <t>FEDERAL FUNDS NOT IN OTHER FUNDS</t>
  </si>
  <si>
    <t>Total Other Uses Expenditures (Sum of lines 50-51)</t>
  </si>
  <si>
    <t>TOTAL EXPENDITURES AND OTHER USES (Sum of lines 33,49,52)</t>
  </si>
  <si>
    <t>TOTAL CAPITAL RESERVE CAPITAL PROJECTS FUND EXPENDITURES AND APPROPRIATED RESERVES (Sum of lines 53 &amp; 59)</t>
  </si>
  <si>
    <t>Delinquent Taxes and Penalties and Interest on Taxes</t>
  </si>
  <si>
    <t>Other Taxes from Local Sources</t>
  </si>
  <si>
    <t>Tuition from Individuals</t>
  </si>
  <si>
    <t>Summer School/Interterm/Intercession Fees</t>
  </si>
  <si>
    <t xml:space="preserve">Allocation from General Fund.  </t>
  </si>
  <si>
    <t>GENERAL INSTRUCTIONS</t>
  </si>
  <si>
    <r>
      <t>COUNTY: ALAMOSA</t>
    </r>
    <r>
      <rPr>
        <b/>
        <sz val="10"/>
        <rFont val="Arial"/>
        <family val="2"/>
      </rPr>
      <t/>
    </r>
  </si>
  <si>
    <r>
      <t>DISTRICT NAME: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ALAMOSA RE-11J</t>
    </r>
  </si>
  <si>
    <r>
      <t>ESTIMATED FUNDED PUPIL COUNT: 3000</t>
    </r>
    <r>
      <rPr>
        <b/>
        <sz val="10"/>
        <rFont val="Arial"/>
        <family val="2"/>
      </rPr>
      <t/>
    </r>
  </si>
  <si>
    <t>Complete the CDE-18 pages for funds that only pertain to your district</t>
  </si>
  <si>
    <r>
      <t xml:space="preserve">In cell </t>
    </r>
    <r>
      <rPr>
        <b/>
        <sz val="12"/>
        <rFont val="Arial"/>
        <family val="2"/>
      </rPr>
      <t>B5, F5, C7</t>
    </r>
    <r>
      <rPr>
        <sz val="12"/>
        <rFont val="Arial"/>
        <family val="2"/>
      </rPr>
      <t>and</t>
    </r>
    <r>
      <rPr>
        <b/>
        <sz val="12"/>
        <rFont val="Arial"/>
        <family val="2"/>
      </rPr>
      <t xml:space="preserve"> F7</t>
    </r>
    <r>
      <rPr>
        <sz val="12"/>
        <rFont val="Arial"/>
        <family val="2"/>
      </rPr>
      <t xml:space="preserve"> on page 1, enter the header information exactly as it is to appears below.</t>
    </r>
  </si>
  <si>
    <t>FOUR DIGIT DISTRICT/BOCES CODE: 0100</t>
  </si>
  <si>
    <t>Financial Policies and Procedures Handbook</t>
  </si>
  <si>
    <t>After completing the CDE-18 -review the error report.  Make appropriate corrections to fund pages to correct errors.</t>
  </si>
  <si>
    <t>Services Provided Other Units: State Level</t>
  </si>
  <si>
    <t>Impact Aid</t>
  </si>
  <si>
    <t>Handicapped Education</t>
  </si>
  <si>
    <t>All Other Federal Revenue Codes</t>
  </si>
  <si>
    <t>Other Sources</t>
  </si>
  <si>
    <t>1900</t>
  </si>
  <si>
    <t>Other Revenue from Local Sources</t>
  </si>
  <si>
    <t>3114</t>
  </si>
  <si>
    <t>3115</t>
  </si>
  <si>
    <t>Increasing Enrollment Aid</t>
  </si>
  <si>
    <t>Tracking On-Line Programs</t>
  </si>
  <si>
    <t>3190</t>
  </si>
  <si>
    <t>Homestead Act Reimbursement</t>
  </si>
  <si>
    <t>3900</t>
  </si>
  <si>
    <t>Other State Revenue From CDE Sources</t>
  </si>
  <si>
    <t>3950</t>
  </si>
  <si>
    <t xml:space="preserve">Employee Benefits - staff details tab  </t>
  </si>
  <si>
    <t>State Revenue from Agencies Other Than CDE</t>
  </si>
  <si>
    <t>4951</t>
  </si>
  <si>
    <t>Services Provided within BOCES: Federal Level</t>
  </si>
  <si>
    <t>4952</t>
  </si>
  <si>
    <t>Services Provided other Colorado Districts  or BOCES: Federal Level</t>
  </si>
  <si>
    <t>4959</t>
  </si>
  <si>
    <t>Services Provided Other Units: Federal Level</t>
  </si>
  <si>
    <t>5900</t>
  </si>
  <si>
    <t>3170</t>
  </si>
  <si>
    <t>Small Attendance Center Aid</t>
  </si>
  <si>
    <t>1321</t>
  </si>
  <si>
    <t>1322</t>
  </si>
  <si>
    <t>1323</t>
  </si>
  <si>
    <t>1324</t>
  </si>
  <si>
    <t>1330</t>
  </si>
  <si>
    <t>Tuition from WITHIN the BOCES (or Administrative Unit(AU))</t>
  </si>
  <si>
    <t>Tuition from Excess Costs</t>
  </si>
  <si>
    <t>Tuition from CDE for Out-of District Placed Pupils</t>
  </si>
  <si>
    <t>Tuition from School Districts Outside the State</t>
  </si>
  <si>
    <t>Tuition from Other Sources</t>
  </si>
  <si>
    <t>1410</t>
  </si>
  <si>
    <t>1411</t>
  </si>
  <si>
    <t>Transportation Fees From Individuals for Activities</t>
  </si>
  <si>
    <t>1421</t>
  </si>
  <si>
    <t>Tuition from Other Colorado Districts or BOCES (or AU)</t>
  </si>
  <si>
    <t>1422</t>
  </si>
  <si>
    <t xml:space="preserve">     TABOR Worksheets (2 pages)</t>
  </si>
  <si>
    <t>Total Instructional Program Expenditures (Sum of lines 9-38)</t>
  </si>
  <si>
    <t xml:space="preserve">     Consolidated Budget Summary (6 pages)</t>
  </si>
  <si>
    <t>E-MAIL</t>
  </si>
  <si>
    <t xml:space="preserve">     </t>
  </si>
  <si>
    <r>
      <t xml:space="preserve">Please enter information in the cells with </t>
    </r>
    <r>
      <rPr>
        <sz val="12"/>
        <color indexed="12"/>
        <rFont val="Arial"/>
        <family val="2"/>
      </rPr>
      <t xml:space="preserve">Blue Text.  </t>
    </r>
    <r>
      <rPr>
        <sz val="12"/>
        <rFont val="Arial"/>
        <family val="2"/>
      </rPr>
      <t>Do not use decimals when entering data in the CDE-18 report.</t>
    </r>
  </si>
  <si>
    <t>2400 - School Administration</t>
  </si>
  <si>
    <t>TOTAL SCHOOL ADMINISTRATION SUPPORT</t>
  </si>
  <si>
    <t>2500 - Business Services</t>
  </si>
  <si>
    <t>TOTAL BUSINESS SERVICES SUPPORT</t>
  </si>
  <si>
    <t>Fund 51:  FOOD SERVICE FUND</t>
  </si>
  <si>
    <t>BEGINNING RETAINED EARNINGS</t>
  </si>
  <si>
    <t>EXPENSES AND OTHER USES</t>
  </si>
  <si>
    <t>0633</t>
  </si>
  <si>
    <t>0600-0699 not 0630-0639</t>
  </si>
  <si>
    <t>0735</t>
  </si>
  <si>
    <t>0740</t>
  </si>
  <si>
    <t>0869</t>
  </si>
  <si>
    <t>9200</t>
  </si>
  <si>
    <t>0730</t>
  </si>
  <si>
    <t>Funds 52-59: OTHER ENTERPRISE FUNDS</t>
  </si>
  <si>
    <t>*Round to Nearest Dollar*</t>
  </si>
  <si>
    <t>Fund 64:  RISK-RELATED ACTIVITY FUND</t>
  </si>
  <si>
    <t>TRANSFERS</t>
  </si>
  <si>
    <t>FUND</t>
  </si>
  <si>
    <t>SUPPORT SERVICES PROGRAM CODES</t>
  </si>
  <si>
    <t>2100 - Students</t>
  </si>
  <si>
    <t>2200 - Instructional Staff</t>
  </si>
  <si>
    <t>TOTAL STUDENT SUPPORT</t>
  </si>
  <si>
    <t>TOTAL INSTRUCTIONAL STAFF SUPPORT</t>
  </si>
  <si>
    <t>2300 - General Administration</t>
  </si>
  <si>
    <t>TOTAL GENERAL ADMINISTRATION SUPPORT</t>
  </si>
  <si>
    <r>
      <t xml:space="preserve">0070 - Gifted and Talented Education </t>
    </r>
    <r>
      <rPr>
        <b/>
        <sz val="8"/>
        <color indexed="10"/>
        <rFont val="Helv"/>
      </rPr>
      <t>(All Gifted and Talented Education accounts should be coded with Grant Code 3150)</t>
    </r>
  </si>
  <si>
    <t>Unemployment Compensation Insurance - Program Code 2850 (or 2800)</t>
  </si>
  <si>
    <t>Workers' Compensation Insurance - Program Code 2850 (or 2800)</t>
  </si>
  <si>
    <t>District Student Insurance - Program Code 2850 (or 2800)</t>
  </si>
  <si>
    <t>Please Note:  Object codes 0520 through 0529 are non-bolded codes that roll to the bolded "0500 - Other Purchased Services" in the Automated Data Exchange.</t>
  </si>
  <si>
    <t>Federal Sources - School Breakfast Program (CFDA # 10.553)</t>
  </si>
  <si>
    <t>For your Accountability Report: Report Card Data.</t>
  </si>
  <si>
    <t>Please Refer the the Appropriate Appendix ("R") in the Chart of Accounts for further information regarding how you must use this fund.</t>
  </si>
  <si>
    <t>Please Refer to the Chart of Accounts for further information regarding how you must use this fund.</t>
  </si>
  <si>
    <t>2600 - Operations and Maintenance</t>
  </si>
  <si>
    <t>TOTAL OPERATIONS AND MAINTENANCE</t>
  </si>
  <si>
    <t>2700 - Student Transportation</t>
  </si>
  <si>
    <t>TOTAL STUDENT TRANSPORTATION</t>
  </si>
  <si>
    <t>2800 - Central Support</t>
  </si>
  <si>
    <t>TOTAL CENTRAL SUPPORT</t>
  </si>
  <si>
    <t>2900 - Other Support</t>
  </si>
  <si>
    <t>TOTAL OTHER SUPPORT</t>
  </si>
  <si>
    <t>3100 - Food Service Operations</t>
  </si>
  <si>
    <t>0630</t>
  </si>
  <si>
    <t>TOTAL FOOD SERVICE OPERATIONS</t>
  </si>
  <si>
    <t>3300 - Community Services</t>
  </si>
  <si>
    <t>TOTAL COMMUNITY SERVICES</t>
  </si>
  <si>
    <t>3400 - Education for Adults</t>
  </si>
  <si>
    <t>TOTAL EDUCATION FOR ADULTS</t>
  </si>
  <si>
    <t>4000 - FACILITIES ACQUISITION AND CONSTRUCTION SERVICES</t>
  </si>
  <si>
    <t>TOTAL FACILITIES ACQUISITION AND CONSTRUCTION SERVICES</t>
  </si>
  <si>
    <t>1610-1614</t>
  </si>
  <si>
    <t>Reimbursable food Service Revenue</t>
  </si>
  <si>
    <t>0520</t>
  </si>
  <si>
    <t>0521</t>
  </si>
  <si>
    <t>0523</t>
  </si>
  <si>
    <t>0524</t>
  </si>
  <si>
    <t>Federal Revenue from CDE</t>
  </si>
  <si>
    <t>Federal Revenue from other State Source</t>
  </si>
  <si>
    <t>Federal Revenue directly from Federal Government</t>
  </si>
  <si>
    <t>4010</t>
  </si>
  <si>
    <t>4020</t>
  </si>
  <si>
    <t>5819</t>
  </si>
  <si>
    <t>PRIOR YEAR</t>
  </si>
  <si>
    <t>CURRENT YEAR</t>
  </si>
  <si>
    <r>
      <t xml:space="preserve">CURRENT FISCAL YEAR </t>
    </r>
    <r>
      <rPr>
        <b/>
        <sz val="8"/>
        <rFont val="Helv"/>
      </rPr>
      <t>PROJECTED TABOR PROPERTY TAX LIMITATION</t>
    </r>
  </si>
  <si>
    <r>
      <t xml:space="preserve">CURRENT FISCAL YEAR </t>
    </r>
    <r>
      <rPr>
        <b/>
        <sz val="8"/>
        <rFont val="Helv"/>
      </rPr>
      <t>PROJECTED TABOR SPENDING LIMITATION</t>
    </r>
  </si>
  <si>
    <t>1. Enter Current FY Fund Data as Listed below.</t>
  </si>
  <si>
    <t>TOTAL CURRENT FY TABOR EXPENDITURES</t>
  </si>
  <si>
    <t>TOTAL CURRENT FY TABOR DEDUCTIONS</t>
  </si>
  <si>
    <t>7. MAXIMUM ALLOWED TABOR SPENDING FOR CURRENT FY (line 3 plus line 6)</t>
  </si>
  <si>
    <t>0525</t>
  </si>
  <si>
    <t>0526</t>
  </si>
  <si>
    <t>0527</t>
  </si>
  <si>
    <t>0528</t>
  </si>
  <si>
    <t>0522</t>
  </si>
  <si>
    <t>Insurance Premiums</t>
  </si>
  <si>
    <t>Property Insurance - Program Code 2620 (or 2600)</t>
  </si>
  <si>
    <t>Fidelity Insurance - Program Code 2850 (or 2800)</t>
  </si>
  <si>
    <t>1340</t>
  </si>
  <si>
    <t>All Other Local Revenue Codes</t>
  </si>
  <si>
    <t>1.  General Fund</t>
  </si>
  <si>
    <t xml:space="preserve">25        Transportation </t>
  </si>
  <si>
    <t>30                        Debt Service Fund</t>
  </si>
  <si>
    <t>31                        Bond Redemption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</si>
  <si>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</si>
  <si>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</si>
  <si>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</si>
  <si>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</si>
  <si>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>51                         Food Service</t>
  </si>
  <si>
    <t xml:space="preserve">60                   Internal Service </t>
  </si>
  <si>
    <t>Federal Sources - School Lunch Program (CFDA # 10.555, 10.556, 10.559, 10.564)</t>
  </si>
  <si>
    <t>Commodity Fees</t>
  </si>
  <si>
    <t>0630-0639 not 0632-0633</t>
  </si>
  <si>
    <t>Commodities</t>
  </si>
  <si>
    <t>Other Supplies</t>
  </si>
  <si>
    <t>0800-0899 not 0869</t>
  </si>
  <si>
    <t>Tuition Charges</t>
  </si>
  <si>
    <t>Food Service</t>
  </si>
  <si>
    <t>Pupil Activity</t>
  </si>
  <si>
    <t>1800</t>
  </si>
  <si>
    <t>TOTAL GENERAL FUND EXPENDITURES AND APPROPRIATED RESERVES</t>
  </si>
  <si>
    <t>TOTAL APPROPRIATED RESERVES</t>
  </si>
  <si>
    <t xml:space="preserve">      ---MUST EQUAL AMOUNT ON APPROPRIATION RESOLUTION PAGE---</t>
  </si>
  <si>
    <t>TOTAL NET REVENUE</t>
  </si>
  <si>
    <t>DIFFERENCE MUST EQUAL 0</t>
  </si>
  <si>
    <t>5100 - Debt Service</t>
  </si>
  <si>
    <t>TOTAL EXPENDITURES AND OTHER USES</t>
  </si>
  <si>
    <t>TOTAL GENERAL FUND EXPENDITURES AND RESERVES</t>
  </si>
  <si>
    <t>Vehicles (for use with Program Code 0850 - Drivers Education only)</t>
  </si>
  <si>
    <t>Sum of all Fund 20 program linked Salaries lines  - Verify that grant codes are included on this tab.</t>
  </si>
  <si>
    <t>Sum of all Fund 20 program linked Benefits lines - Verify that grant codes are included on this tab.</t>
  </si>
  <si>
    <t>Sum of all Fund 22 program linked Salaries lines - Verify that grant codes are included on this tab.</t>
  </si>
  <si>
    <t>Sum of all Fund 22 program linked Benefits lines - Verify that grant codes are included on this tab.</t>
  </si>
  <si>
    <t>5000 - Other Uses</t>
  </si>
  <si>
    <t>APPROPRIATED RESERVES</t>
  </si>
  <si>
    <t>NON-APPROPRIATED RESERVES</t>
  </si>
  <si>
    <t>Object Codes</t>
  </si>
  <si>
    <t>TOTALS</t>
  </si>
  <si>
    <t>Funds 74:  PUPIL ACTIVITY AGENCY FUND</t>
  </si>
  <si>
    <t>BEGINNING ASSETS</t>
  </si>
  <si>
    <t>ARBITRAGE REBATE AMOUNT</t>
  </si>
  <si>
    <t>1. General Fund</t>
  </si>
  <si>
    <t>2. Building Fund</t>
  </si>
  <si>
    <t>3. Bond Fund</t>
  </si>
  <si>
    <t>5. TOTAL FOR ALL FUNDS (Sum of lines 1-4)</t>
  </si>
  <si>
    <t>COMPONENT UNIT REVENUE AND EXPENDITURES/EXPENSES</t>
  </si>
  <si>
    <t>1. Charges for Services</t>
  </si>
  <si>
    <t>2. Property Taxes</t>
  </si>
  <si>
    <t>Not Required</t>
  </si>
  <si>
    <t>3. Earning on Investments</t>
  </si>
  <si>
    <t>4. Other Revenue</t>
  </si>
  <si>
    <t>EXPENDITURES/EXPENSES AND OTHER USES</t>
  </si>
  <si>
    <t>10. TOTAL EXPENDITURES/EXPENSES (Sum of lines 8-9)</t>
  </si>
  <si>
    <t>1951</t>
  </si>
  <si>
    <t>1952</t>
  </si>
  <si>
    <t>1959</t>
  </si>
  <si>
    <t>3112</t>
  </si>
  <si>
    <t>3113</t>
  </si>
  <si>
    <t>3180</t>
  </si>
  <si>
    <t>3951</t>
  </si>
  <si>
    <t>3952</t>
  </si>
  <si>
    <t>3959</t>
  </si>
  <si>
    <t>56XX</t>
  </si>
  <si>
    <t>5810</t>
  </si>
  <si>
    <t xml:space="preserve">This is not a TRUE fund that requires budgetary control.  </t>
  </si>
  <si>
    <t xml:space="preserve">It is a "fund" that CDE has established for you to tell us what your district debt information is. </t>
  </si>
  <si>
    <t xml:space="preserve">     Total Operations and Maintenance</t>
  </si>
  <si>
    <t>Student Transportation - Program 2700</t>
  </si>
  <si>
    <t xml:space="preserve">     Total Student Transportation</t>
  </si>
  <si>
    <t>Central Support - Program 2800</t>
  </si>
  <si>
    <t>0300,0400 ,0500</t>
  </si>
  <si>
    <t xml:space="preserve">     Total Central Support</t>
  </si>
  <si>
    <t>Other Support - Program 2900</t>
  </si>
  <si>
    <t xml:space="preserve">     Total Other Support</t>
  </si>
  <si>
    <t>Food Service Operations - Program 3100</t>
  </si>
  <si>
    <t>Enterprise Operatings - Program 3200</t>
  </si>
  <si>
    <t xml:space="preserve">     Total Enterprise Operations</t>
  </si>
  <si>
    <t>Pre-School Fund</t>
  </si>
  <si>
    <t>p</t>
  </si>
  <si>
    <t>1a.</t>
  </si>
  <si>
    <t>Pre</t>
  </si>
  <si>
    <t>School</t>
  </si>
  <si>
    <t>11. Appropriated Reserves</t>
  </si>
  <si>
    <t>12. TOTAL EXPENDITURES/EXPENSES AND APPROPRIATED RESERVES (Sum of lines 10-11)</t>
  </si>
  <si>
    <t xml:space="preserve">      ---LINE 12 MUST EQUAL AMOUNT ON APPROPRIATION RESOLUTION PAGE---</t>
  </si>
  <si>
    <t>13. Total Non-Appropriated Reserves</t>
  </si>
  <si>
    <t>14. TOTAL EXPENDITURES/EXPENSES AND RESERVES (Sum of lines 12-13)</t>
  </si>
  <si>
    <t>TABOR  EMERGENCY RESERVES</t>
  </si>
  <si>
    <t>1. General Fund (includes Charter School Fund)</t>
  </si>
  <si>
    <r>
      <t xml:space="preserve">OTHER SOURCES - </t>
    </r>
    <r>
      <rPr>
        <i/>
        <sz val="8"/>
        <color indexed="10"/>
        <rFont val="Helv"/>
      </rPr>
      <t>LIST ALL GRANTS BY GRANT/PROJECT CODE, TITLE AND FUND</t>
    </r>
  </si>
  <si>
    <t>OTHER SOURCES</t>
  </si>
  <si>
    <t>TOTAL GOVERNMENTAL DESIGNATED PURPOSE GRANTS FUND EXPENDITURES AND APPROPRIATED RESERVES</t>
  </si>
  <si>
    <t>CAPITAL RESERVE FUND</t>
  </si>
  <si>
    <t>80.</t>
  </si>
  <si>
    <t>PROGRAMS 0010-2099</t>
  </si>
  <si>
    <t>PROGRAMS 0010-9900</t>
  </si>
  <si>
    <t>3000</t>
  </si>
  <si>
    <t>State Matching Child Nutrition: Grant 3161</t>
  </si>
  <si>
    <t>School Breakfast Program: Grant 3162</t>
  </si>
  <si>
    <t>Start Smart Nutrition: Grant 3164</t>
  </si>
  <si>
    <t>10</t>
  </si>
  <si>
    <t>11</t>
  </si>
  <si>
    <t>81.</t>
  </si>
  <si>
    <t>SCHOOL DISTRICT</t>
  </si>
  <si>
    <t>DISTRICT CODE</t>
  </si>
  <si>
    <t>10                   General Fund</t>
  </si>
  <si>
    <t>11                      Charter School Fund</t>
  </si>
  <si>
    <t>18               Insurance Reserve / Risk-Management</t>
  </si>
  <si>
    <t xml:space="preserve">19              Preschool and Kindergarten </t>
  </si>
  <si>
    <t>21                       Capital Reserve</t>
  </si>
  <si>
    <t>22                 Governmental Designated Grants Fund</t>
  </si>
  <si>
    <t xml:space="preserve">23                       Pupil Activity </t>
  </si>
  <si>
    <t>time it adopts the budget.  The appropriation resolution shall specify the amount of money</t>
  </si>
  <si>
    <t>If you treat Transfers Out as an expenditure - report such amounts here:</t>
  </si>
  <si>
    <t>If you treat Allocations Out as an expenditure - report such amounts here:</t>
  </si>
  <si>
    <t>76a.</t>
  </si>
  <si>
    <t>83a.</t>
  </si>
  <si>
    <t>84a.</t>
  </si>
  <si>
    <t>85a.</t>
  </si>
  <si>
    <t>Transfers and Allocations Out (as reported at the bottom of the GenFundREV page)</t>
  </si>
  <si>
    <t>Link of amounts from the GenFundREV page</t>
  </si>
  <si>
    <t>NOTE-1:</t>
  </si>
  <si>
    <t>NOTE-2:</t>
  </si>
  <si>
    <t>The above four lines will be linked for inclusion in the "TOTAL OTHER USES" line on the GenFund Exp2 page.</t>
  </si>
  <si>
    <t>Transfer To________________Fund(s) (input as a positive number on this line)</t>
  </si>
  <si>
    <t>*</t>
  </si>
  <si>
    <t>Unless Transfers Out are recognized as an expenditure per above treatment.</t>
  </si>
  <si>
    <r>
      <t xml:space="preserve">Input the next three lines as a positive number </t>
    </r>
    <r>
      <rPr>
        <b/>
        <sz val="8"/>
        <rFont val="Helv"/>
      </rPr>
      <t>(See NOTE-2 below)</t>
    </r>
  </si>
  <si>
    <r>
      <t xml:space="preserve">REVENUE FROM OTHER SOURCES </t>
    </r>
    <r>
      <rPr>
        <b/>
        <i/>
        <sz val="8"/>
        <rFont val="Helv"/>
      </rPr>
      <t>(See NOTE-1 below)</t>
    </r>
  </si>
  <si>
    <t>fund tabs in this workbook.</t>
  </si>
  <si>
    <r>
      <t xml:space="preserve">If a cell is </t>
    </r>
    <r>
      <rPr>
        <sz val="12"/>
        <color indexed="14"/>
        <rFont val="Arial"/>
        <family val="2"/>
      </rPr>
      <t>"Pink"</t>
    </r>
    <r>
      <rPr>
        <sz val="12"/>
        <rFont val="Arial"/>
        <family val="2"/>
      </rPr>
      <t xml:space="preserve"> is input is not valid and must be fixed.  </t>
    </r>
  </si>
  <si>
    <t>The "Salary" column of the "Staff Details" tab may be modified if needed, by overwriting the cell input.</t>
  </si>
  <si>
    <r>
      <t xml:space="preserve">Columns highlighted in </t>
    </r>
    <r>
      <rPr>
        <sz val="12"/>
        <color indexed="45"/>
        <rFont val="Arial"/>
        <family val="2"/>
      </rPr>
      <t xml:space="preserve">"Rose" </t>
    </r>
    <r>
      <rPr>
        <sz val="12"/>
        <rFont val="Arial"/>
        <family val="2"/>
      </rPr>
      <t>are linked to the various fund tabs in this workbook.</t>
    </r>
  </si>
  <si>
    <t>Tuition Paid Within the BOCES or AU</t>
  </si>
  <si>
    <t>Tuition Paid to Other Colorado Districts or BOCES or AU</t>
  </si>
  <si>
    <t>Tuition to School Districts Outside The State</t>
  </si>
  <si>
    <t>Tuition To Private Sources</t>
  </si>
  <si>
    <t>Tuition - Other</t>
  </si>
  <si>
    <t>TOTAL GRANT EXPENDITURES NOT IN OTHER FUNDS</t>
  </si>
  <si>
    <t>Travel, Registration, and Entrance</t>
  </si>
  <si>
    <t>0591</t>
  </si>
  <si>
    <t>0592</t>
  </si>
  <si>
    <t>0593</t>
  </si>
  <si>
    <t>0594</t>
  </si>
  <si>
    <t>0640</t>
  </si>
  <si>
    <t>Services Purchased Within the BOCES or AU</t>
  </si>
  <si>
    <t>Component Unit Revenues and Expenditures/Expenses . . . . . . . . . . . . . . . . . . . . . . . . . . . . . . . . . . .</t>
  </si>
  <si>
    <t>Capital Projects Funds:</t>
  </si>
  <si>
    <t>**The ALLOCATION FROM GENERAL FUND ON LINE 15 MUST BE INCLUDED IN THE AMOUNT ON LINE 83 or LINE 83a GENERAL FUND REVENUES</t>
  </si>
  <si>
    <t>Link of amounts from line 12a above</t>
  </si>
  <si>
    <t>Transfers Out (as reported on line 12a above)</t>
  </si>
  <si>
    <t>Transfer From(+)/To(-)________________Fund(s) (Net to zero across all funds) NOTE-1</t>
  </si>
  <si>
    <t>7a</t>
  </si>
  <si>
    <t>The above four lines will be linked for inclusion in the "TOTAL OTHER USES" line on the CharterFund Exp2 page.</t>
  </si>
  <si>
    <t>Transfers and Allocations Out (as reported at the bottom of the CharterFundREV page)</t>
  </si>
  <si>
    <t>Link of amounts from the CharterFundREV page</t>
  </si>
  <si>
    <t xml:space="preserve">     Total Other Uses</t>
  </si>
  <si>
    <t>Transfer From(+)/To(-)________________Fund(s) (Net to zero across all funds)* NOTE-1</t>
  </si>
  <si>
    <t>**The ALLOCATION FROM GENERAL FUND ON LINE 7 MUST BE INCLUDED IN THE AMOUNT ON LINE 83 or LINE 83a OF GENERAL FUND REVENUE.</t>
  </si>
  <si>
    <t>Transfers Out if reported as an expenditure - Linked from line 5a above</t>
  </si>
  <si>
    <t>Other Uses - Program 5000s - including Transfers Out and/or Allocations Out as an expenditure</t>
  </si>
  <si>
    <t>appropriated to each fund; except that the operating reserve authorized by section</t>
  </si>
  <si>
    <t>that the amounts shown in the following schedule be appropriated to each fund</t>
  </si>
  <si>
    <t>63                           Risk-Related Activity</t>
  </si>
  <si>
    <t>64                            Risk Related Activity</t>
  </si>
  <si>
    <t>72                      Private-Purpose Trust</t>
  </si>
  <si>
    <t xml:space="preserve">73                           Agency </t>
  </si>
  <si>
    <t>74                         Pupil Activity Agency</t>
  </si>
  <si>
    <t xml:space="preserve">85           Foundations </t>
  </si>
  <si>
    <t>Budgeted Pupil Count</t>
  </si>
  <si>
    <t>BEGINNING FUND BALANCE                               (Includes ALL Reserves)</t>
  </si>
  <si>
    <t>Object/ Source</t>
  </si>
  <si>
    <t>REVENUES</t>
  </si>
  <si>
    <t>1000 - 1999</t>
  </si>
  <si>
    <t>2000 - 2999</t>
  </si>
  <si>
    <t>3000 - 3999</t>
  </si>
  <si>
    <t>4000 - 4999</t>
  </si>
  <si>
    <t>TOTAL REVENUES</t>
  </si>
  <si>
    <t>**Note:  The ALLOCATION FROM GENERAL FUND ON LINE 15 MUST BE INCLUDED IN THE AMOUNT ON LINE 83 or LINE 83a OF GENERAL FUND REVENUE.</t>
  </si>
  <si>
    <t>11a</t>
  </si>
  <si>
    <t>Transfers Out if reported as an expenditure - Linked from line 11a above</t>
  </si>
  <si>
    <t>Transfers Out if reported as an expenditure - Linked from line 6a above</t>
  </si>
  <si>
    <t>ED</t>
  </si>
  <si>
    <t>Fund 24:</t>
  </si>
  <si>
    <t>3111</t>
  </si>
  <si>
    <t>41a</t>
  </si>
  <si>
    <t>65a.</t>
  </si>
  <si>
    <t>65b.</t>
  </si>
  <si>
    <t>Federal Revenue - ARRA - Education Stabilization Funding (Grant Code:  4394)</t>
  </si>
  <si>
    <t>District Emergency Reserve</t>
  </si>
  <si>
    <t>Allocation From General Fund**  (Optional starting in FY09-10)</t>
  </si>
  <si>
    <t xml:space="preserve">  District Emergency Reserve - Program 9315</t>
  </si>
  <si>
    <t>Transfers Out if reported as an expenditure - Linked from line 2a above</t>
  </si>
  <si>
    <t>6. Transfer From(+)/To(-)________________Fund(s) (Net to zero across all funds) NOTE-1</t>
  </si>
  <si>
    <t>0300,0400, 0500</t>
  </si>
  <si>
    <t xml:space="preserve">  Supplies and Materials</t>
  </si>
  <si>
    <t xml:space="preserve">  Property</t>
  </si>
  <si>
    <t xml:space="preserve">  Other</t>
  </si>
  <si>
    <t>0800, 0900</t>
  </si>
  <si>
    <t xml:space="preserve">     Total Instruction</t>
  </si>
  <si>
    <t>Supporting Services</t>
  </si>
  <si>
    <t>Students - Program 2100</t>
  </si>
  <si>
    <t xml:space="preserve">     Total Students</t>
  </si>
  <si>
    <t>Instructional Staff - Program 2200</t>
  </si>
  <si>
    <t xml:space="preserve">     Total Instructional Staff</t>
  </si>
  <si>
    <t>General Administration - Program 2300</t>
  </si>
  <si>
    <t xml:space="preserve">     Total School Administration</t>
  </si>
  <si>
    <t>School Administration - Program 2400</t>
  </si>
  <si>
    <t xml:space="preserve">  Property </t>
  </si>
  <si>
    <t>Business Services - Program 2500</t>
  </si>
  <si>
    <t xml:space="preserve">      Total Business Services</t>
  </si>
  <si>
    <t>Operations and Maintenance - Program 2600</t>
  </si>
  <si>
    <t>OTHER ENTERPRISE FUND</t>
  </si>
  <si>
    <t>RISK-RELATED ACTIVITY FUND</t>
  </si>
  <si>
    <t>OTHER INTERNAL SERVICE FUNDS</t>
  </si>
  <si>
    <t>PUPIL ACTIVITY AGENCY FUNDS</t>
  </si>
  <si>
    <t>Funds 72-73 and 75-78:  TRUST AND OTHER AGENCY FUNDS</t>
  </si>
  <si>
    <t>TRUST AND OTHER AGENCY FUNDS</t>
  </si>
  <si>
    <t>COMPONENT UNIT FUNDS</t>
  </si>
  <si>
    <t>If there is a balance other than zero in this section then the fund is out of balance.</t>
  </si>
  <si>
    <t>Community Services - Program 3300</t>
  </si>
  <si>
    <t xml:space="preserve">     Total Community Services</t>
  </si>
  <si>
    <t xml:space="preserve">     Total Supporting Services</t>
  </si>
  <si>
    <t>Property - Program 4000</t>
  </si>
  <si>
    <t xml:space="preserve">     Total Property</t>
  </si>
  <si>
    <t xml:space="preserve">     TOTAL EXPENDITURES</t>
  </si>
  <si>
    <t xml:space="preserve">   Other Reserved Fund Balance  - Program 9900</t>
  </si>
  <si>
    <t>0840</t>
  </si>
  <si>
    <t xml:space="preserve">   Reserved Fund Balance - Program 9100</t>
  </si>
  <si>
    <t xml:space="preserve">      TOTAL RESERVES</t>
  </si>
  <si>
    <t xml:space="preserve">     TOTAL EXPENDITURES &amp; RESERVES</t>
  </si>
  <si>
    <t>NON-APPROPRIATED RESERVE - Program 9200</t>
  </si>
  <si>
    <t>TOTAL AVAILABLE BEGINNING FUND BALANCE &amp; REVENUES LESS TOTAL EXPENDITURES &amp; RESERVES LESS NON-APPROPRIATED RESERVES                                       (Should Equal Zero (0)</t>
  </si>
  <si>
    <t>Employee Benefits - staff details tab</t>
  </si>
  <si>
    <t>Note:  Amounts listed for each fund must not exceed reserves on corresponding fund page.</t>
  </si>
  <si>
    <t>The board of education of each school district shall adopt an appropriation resolution at the</t>
  </si>
  <si>
    <t>Be it resolved by the Board of Education of School District/BOCES</t>
  </si>
  <si>
    <t>FOUR DIGIT DISTRICT/BOCES CODE</t>
  </si>
  <si>
    <t>Miscellaneous Worksheets: (USE WHEN RELEVANT)</t>
  </si>
  <si>
    <t>Appropriation Resolution. . . . . . . . . . . . . . . . . . . . . . . . . . . . . . . . . . . . . . . . . . . . . . . . . . . . . . . . . . . . . . . . . . . .</t>
  </si>
  <si>
    <t>22-44-106(2) shall not be subject to appropriation for the fiscal year covered by the budget,</t>
  </si>
  <si>
    <t>and except that the appropriation resolution may, by reference, incorporate the budget as</t>
  </si>
  <si>
    <t>adopted by a board of education for the current fiscal year.</t>
  </si>
  <si>
    <t>EXPENDITURES +</t>
  </si>
  <si>
    <t>APPROPRIATION</t>
  </si>
  <si>
    <t>APPROPRIATED</t>
  </si>
  <si>
    <t>AMOUNT</t>
  </si>
  <si>
    <t>The amounts appropriated to a fund shall not exceed the amount thereof as specified in the</t>
  </si>
  <si>
    <t>The next column shows a sample appropriation resolution which may be adopted at the time</t>
  </si>
  <si>
    <t>the board of education adopts the budget.  See other appropriation resolutions in the</t>
  </si>
  <si>
    <t>(Signature, President of the Board) in accordance with 22-44-110(4).</t>
  </si>
  <si>
    <t>(Date of the adoption of the budget)</t>
  </si>
  <si>
    <t>Trust/Agency Funds:</t>
  </si>
  <si>
    <t>Fund 85:  FOUNDATION FUND</t>
  </si>
  <si>
    <t>Other Revenue and Other Sources</t>
  </si>
  <si>
    <t xml:space="preserve">85              Foundation Fund . . . . . . . . . . . . . . . . . . . . . . . . . . . . . . . . . . . . . . . . . . . . . . . . . . . . . . . . . . . . . . . . . . </t>
  </si>
  <si>
    <t>FOUNDATION FUNDS</t>
  </si>
  <si>
    <t>TOTAL APPROPRIATION</t>
  </si>
  <si>
    <t>ERROR REPORT</t>
  </si>
  <si>
    <t>CAPITAL RESERVE SPECIAL REVENUE FUND</t>
  </si>
  <si>
    <t xml:space="preserve">PUPIL ACTIVITY FUND </t>
  </si>
  <si>
    <t>TRANSPORTATION FUND</t>
  </si>
  <si>
    <t xml:space="preserve">OTHER SPECIAL REVENUE FUNDS </t>
  </si>
  <si>
    <t>BOND REDEMPTION FUND</t>
  </si>
  <si>
    <t>BUILDING FUND</t>
  </si>
  <si>
    <t xml:space="preserve">SPECIAL BUILDING AND TECHNOLOGY FUND </t>
  </si>
  <si>
    <t>20</t>
  </si>
  <si>
    <t>Fund 20: ARRA (Federal Stimulus Funding) Grants Fund     FY 2009-2010</t>
  </si>
  <si>
    <t>Fund 20:  GOVERNMENTAL DESIGNATED-PURPOSE GRANTS FUND</t>
  </si>
  <si>
    <t>You may "Hide" rows or columns that you are not using - under "Format", "Row" or "Column", "Hide"</t>
  </si>
  <si>
    <t xml:space="preserve">20               ARRA (Federal Stimulus Funding) Grants Fund   . . . . . . . . . . . . . . . . . . . . . . . . . . . . . . . . . . . . . . . . . . . .  </t>
  </si>
  <si>
    <t>21               Capital Reserve Special Revenue Fund . . . . . . . . . . . . . . . . . . . . . . . . . . . . . . . . . . . . . . . . . . . . . . . .</t>
  </si>
  <si>
    <t>CAPITAL RESERVE CAPITAL PROJECTS FUND</t>
  </si>
  <si>
    <t xml:space="preserve">FOOD SERVICE FUND </t>
  </si>
  <si>
    <t xml:space="preserve">4. Other Fund(s) ___________________________ </t>
  </si>
  <si>
    <t>Internal Service Funds</t>
  </si>
  <si>
    <t>o</t>
  </si>
  <si>
    <t>Component Unit Funds</t>
  </si>
  <si>
    <t>2. Deduct the Following Expenditures Included in Totals above :</t>
  </si>
  <si>
    <t>Refunds to Taxpayers</t>
  </si>
  <si>
    <t xml:space="preserve">a </t>
  </si>
  <si>
    <t>Expenditures from Gifts/Foundations (Excluding Agency Funds)</t>
  </si>
  <si>
    <t xml:space="preserve">b </t>
  </si>
  <si>
    <t>Expenditures from Federal Funds</t>
  </si>
  <si>
    <t xml:space="preserve">c </t>
  </si>
  <si>
    <t>Collections for Another Government</t>
  </si>
  <si>
    <t xml:space="preserve">d </t>
  </si>
  <si>
    <t>Pension Contributions by Employees</t>
  </si>
  <si>
    <t xml:space="preserve">e </t>
  </si>
  <si>
    <t>Pension Fund Earnings</t>
  </si>
  <si>
    <t xml:space="preserve">f </t>
  </si>
  <si>
    <t>GOVERNMENTAL DESIGNATED-PURPOSE GRANTS FUND</t>
  </si>
  <si>
    <t>Bond Redemption Fund</t>
  </si>
  <si>
    <t>CHANGES IN BALANCE</t>
  </si>
  <si>
    <t>TABOR EXPENDITURES</t>
  </si>
  <si>
    <t>a</t>
  </si>
  <si>
    <t>General Fund</t>
  </si>
  <si>
    <t>b</t>
  </si>
  <si>
    <t>Capital Reserve Special Revenue Fund</t>
  </si>
  <si>
    <t>c</t>
  </si>
  <si>
    <t>Governmental Designated-Purpose Grants Fund</t>
  </si>
  <si>
    <t>d</t>
  </si>
  <si>
    <t>51</t>
  </si>
  <si>
    <t>3100</t>
  </si>
  <si>
    <t>Pupil Activity Special Revenue Fund</t>
  </si>
  <si>
    <t>e</t>
  </si>
  <si>
    <t>Insurance Reserve Special Revenue Fund</t>
  </si>
  <si>
    <t>f</t>
  </si>
  <si>
    <t>Transportation Fund</t>
  </si>
  <si>
    <t>g</t>
  </si>
  <si>
    <t>Other Special Revenue Funds</t>
  </si>
  <si>
    <t>h</t>
  </si>
  <si>
    <t>i</t>
  </si>
  <si>
    <t>Building Fund (include Capital Reserve Capital Projects Fund)</t>
  </si>
  <si>
    <t>j</t>
  </si>
  <si>
    <t>Special Building &amp; Technology Fund</t>
  </si>
  <si>
    <t>k</t>
  </si>
  <si>
    <t>Food Service Fund</t>
  </si>
  <si>
    <t>l</t>
  </si>
  <si>
    <t>Other Enterprise Funds</t>
  </si>
  <si>
    <t>m</t>
  </si>
  <si>
    <t>Risk-Related Activity Fund</t>
  </si>
  <si>
    <t>n</t>
  </si>
  <si>
    <t>Bolded</t>
  </si>
  <si>
    <t>2300</t>
  </si>
  <si>
    <t>2500</t>
  </si>
  <si>
    <t>1000</t>
  </si>
  <si>
    <t>0050</t>
  </si>
  <si>
    <t>22</t>
  </si>
  <si>
    <r>
      <t>I.</t>
    </r>
    <r>
      <rPr>
        <sz val="10"/>
        <rFont val="Helv"/>
      </rPr>
      <t xml:space="preserve"> Revenues plus Beginning Fund Balance </t>
    </r>
    <r>
      <rPr>
        <b/>
        <sz val="10"/>
        <rFont val="Helv"/>
      </rPr>
      <t>MINUS</t>
    </r>
    <r>
      <rPr>
        <sz val="10"/>
        <rFont val="Helv"/>
      </rPr>
      <t xml:space="preserve"> Expenditures plus Reserves must = zero.</t>
    </r>
  </si>
  <si>
    <t>Transfer From(+)/To(-)________________Fund(s) (Net to zero across all funds)*</t>
  </si>
  <si>
    <t>GRANT/PROJECT TITLE</t>
  </si>
  <si>
    <t>TOTAL INSURANCE RESERVE SPECIAL REVENUE FUND EXPENDITURES AND APPROPRIATED RESERVES Sum of lines 21 &amp; 27)</t>
  </si>
  <si>
    <t>TOTAL EXPENDITURES AND OTHER USES (Sum of lines 13-22)</t>
  </si>
  <si>
    <t>TOTAL EXPENDITURES &amp; OTHER USES (Sum of lines 9-20)</t>
  </si>
  <si>
    <t>TOTAL TRANSPORTATION FUND EXPENDITURES AND APPROPRIATED RESERVES (Sum of lines 23 &amp; 29)</t>
  </si>
  <si>
    <t>Error Report . . . . . . . . . . . . . . . . . . . . . . . . . . . . . . . . . . . . . . . . . . . . . . . . . . . . .</t>
  </si>
  <si>
    <t xml:space="preserve">52-59         Other Enterprise Funds . . . . . . . . . . . . . . . . . . . . . . . . . . . . . . . . . . . . . . . . . . . . . . . . . . . . . . . . . . . . . . . . . . . . . . . </t>
  </si>
  <si>
    <t>61-62 &amp; 65-69         Other Internal Service Funds . . . . . . . . . . . . . . . . . . . . . . . . . . . . . . . . . . . . . . . . . . . . . . . . . . . . . . . . . . . . . . . . . . . . . .</t>
  </si>
  <si>
    <t>64               Risk-Related Activity Fund . . . . . . . . . . . . . . . . . . . . . . . . . . . . . . . . . . . . . . . . . . . . . . . . . . . . . . . . . . . . . . . . . . . . . . . .</t>
  </si>
  <si>
    <t xml:space="preserve">GASB 34 . . . . . . . . . . . . . . . . . . . . . . . . . . . . . . . . . . . . . . . . . . . . . . . . . . . . . . . . . . . . . . . . . . . . . . . . . . . </t>
  </si>
  <si>
    <t xml:space="preserve">District Debt . . . . . . . . . . . . . . . . . . . . . . . . . . . . . . . . . . . . . . . . . . . . . . . . . . . . . . . . . . . . . . . . . . . . . . </t>
  </si>
  <si>
    <t xml:space="preserve">Tabor Compliance Worksheet. . . . . . . . . . . . . . . . . . . . . . . . . . . . . . . . . . . . . . . . . . . . . . . . . . . . . . . . . . . . . . . </t>
  </si>
  <si>
    <t>Fund 22:  GOVERNMENTAL DESIGNATED-PURPOSE GRANTS FUND</t>
  </si>
  <si>
    <t>*  Additional funds may be transferred from General fund to cover program expenditures in excess of Pre-School Allocation.</t>
  </si>
  <si>
    <t>Total Support Program Expenditures (Sum of lines 40-72)</t>
  </si>
  <si>
    <t>TOTAL APPROPRIATED RESERVES (Sum of lines 76-80)</t>
  </si>
  <si>
    <t>TOTAL CPP FUND EXPENDITURES AND APPROPRIATED RESERVES(Sum of lines 75 &amp; 81)</t>
  </si>
  <si>
    <t xml:space="preserve">Other Revenue  </t>
  </si>
  <si>
    <t>TOTAL REVENUE (Sum of lines 1-8)</t>
  </si>
  <si>
    <t>Expenditures from the Proceeds of Damage Awards</t>
  </si>
  <si>
    <t>Expenditures from the Proceeds of the Sale of School Property</t>
  </si>
  <si>
    <t>4. ADJUSTMENTS TO SPENDING FOR DETERMINING ALLOWABLE GROWTH</t>
  </si>
  <si>
    <t>Debt Service Increase/(Decrease) since FY 1992-93</t>
  </si>
  <si>
    <t>Need beginning fund balance amount on line 5 of "GenFundRev"</t>
  </si>
  <si>
    <t>TOTAL ADJUSTMENTS TO SPENDING</t>
  </si>
  <si>
    <t>5. NET SPENDING ON WHICH GROWTH IS ALLOWED (line 3 minus line 4)</t>
  </si>
  <si>
    <t>6. ALLOWABLE GROWTH</t>
  </si>
  <si>
    <t>Percent Change in Student Enrollment</t>
  </si>
  <si>
    <t>Total Percent Change (line a plus line b)</t>
  </si>
  <si>
    <t>Net Spending on which Growth is Allowed (line 5)</t>
  </si>
  <si>
    <t>Total Inflation and Enrollment Growth (line 6c times line 6d)</t>
  </si>
  <si>
    <t>Debt Service Increase/(Decrease) since FY 1992-93 (line 4a)</t>
  </si>
  <si>
    <t>Voter-Approved Revenue Changes (line 4b)</t>
  </si>
  <si>
    <t>TOTAL ALLOWABLE GROWTH (line 6e plus line 6f plus line 6g)</t>
  </si>
  <si>
    <t>1</t>
  </si>
  <si>
    <t>2</t>
  </si>
  <si>
    <t>3</t>
  </si>
  <si>
    <t>Program Codes that are Linked to the Fund Tabs through Staff Details Page</t>
  </si>
  <si>
    <t>Fund:</t>
  </si>
  <si>
    <t>Program:</t>
  </si>
  <si>
    <t>0030</t>
  </si>
  <si>
    <t>0051</t>
  </si>
  <si>
    <t>0070</t>
  </si>
  <si>
    <t>0080</t>
  </si>
  <si>
    <t>0090</t>
  </si>
  <si>
    <t>0900</t>
  </si>
  <si>
    <t>2100</t>
  </si>
  <si>
    <t>2200</t>
  </si>
  <si>
    <t>2800</t>
  </si>
  <si>
    <t>2900</t>
  </si>
  <si>
    <t>3210</t>
  </si>
  <si>
    <t>3220</t>
  </si>
  <si>
    <t>3400</t>
  </si>
  <si>
    <t>18</t>
  </si>
  <si>
    <t>21</t>
  </si>
  <si>
    <t>26-29</t>
  </si>
  <si>
    <t>52-59</t>
  </si>
  <si>
    <t>64</t>
  </si>
  <si>
    <t>61-62/65-69</t>
  </si>
  <si>
    <t>74</t>
  </si>
  <si>
    <t>72-73/75-78</t>
  </si>
  <si>
    <t>0060 - General Integrated Education  Program</t>
  </si>
  <si>
    <t>1700 - Special Education  Program</t>
  </si>
  <si>
    <t>2210</t>
  </si>
  <si>
    <t>Amount per month towards insurances</t>
  </si>
  <si>
    <t>4</t>
  </si>
  <si>
    <t>5</t>
  </si>
  <si>
    <t>PERCENT</t>
  </si>
  <si>
    <t>ALLOWABLE</t>
  </si>
  <si>
    <t>VOTER</t>
  </si>
  <si>
    <t>MAXIMUM</t>
  </si>
  <si>
    <t>PROPERTY TAX</t>
  </si>
  <si>
    <t>INCREASE</t>
  </si>
  <si>
    <t>APPROVED</t>
  </si>
  <si>
    <t>GROWTH</t>
  </si>
  <si>
    <t>ALLOWED</t>
  </si>
  <si>
    <t>N/A</t>
  </si>
  <si>
    <t>Special Building Fund</t>
  </si>
  <si>
    <t>Other _____________*</t>
  </si>
  <si>
    <t>BUDGET SUMMARY WORKSHEET</t>
  </si>
  <si>
    <t xml:space="preserve">  FUND</t>
  </si>
  <si>
    <t xml:space="preserve">  BUDGETED REVENUE</t>
  </si>
  <si>
    <t xml:space="preserve">  BUDGETED EXPENDITURES</t>
  </si>
  <si>
    <t xml:space="preserve">  APPROPRIATED AMOUNT</t>
  </si>
  <si>
    <t xml:space="preserve">  (Includes Beginning Fund Revenue)</t>
  </si>
  <si>
    <t xml:space="preserve"> (Incl. Enterprise Funds Capital Outlay)</t>
  </si>
  <si>
    <t>PUPIL ACTIVITY SPECIAL REVENUE FUND</t>
  </si>
  <si>
    <t>OTHER SPECIAL REVENUE FUNDS (COMBINED)</t>
  </si>
  <si>
    <t>SPECIAL BUILDING AND TECHNOLOGY FUND</t>
  </si>
  <si>
    <t>FOOD SERVICE FUND</t>
  </si>
  <si>
    <t>OTHER ENTERPRISE FUNDS (COMBINED)</t>
  </si>
  <si>
    <t xml:space="preserve">INSURANCE RESERVE FUND </t>
  </si>
  <si>
    <t>INSURANCE RESERVE FUND</t>
  </si>
  <si>
    <t>1b.</t>
  </si>
  <si>
    <t>TOTAL APPROPRIATED RESERVES (Sum of lines 24-28)</t>
  </si>
  <si>
    <t>Total Instructional Program Expenditures (Sum of lines 8-16)</t>
  </si>
  <si>
    <t>Total Support Program Expenditures (Sum of lines 18-26)</t>
  </si>
  <si>
    <t>TOTAL EXPENDITURES AND OTHER USES(Sum of lines 17, 27 &amp; 30)</t>
  </si>
  <si>
    <t>TOTAL OTHER SPECIAL REVENUE FUND EXPENDITURES AND APPROPRIATED RESERVES (Sum of lines 31 &amp; 37)</t>
  </si>
  <si>
    <t>TOTAL BOND REDEMPTION FUND EXPENDITURES AND APPROPRIATED RESERVES (Sum of lines 18 &amp; 24)</t>
  </si>
  <si>
    <t>TOTAL SPECIAL BUILDING AND TECHNOLOGY FUND EXPENDITURES AND APPROPRIATED RESERVES (Sum of lines 16 &amp; 22)</t>
  </si>
  <si>
    <t>TOTAL REVENUE (Sum of lines 1-16)</t>
  </si>
  <si>
    <t>Transfer From________________Fund(s) (Net to zero across all funds)*</t>
  </si>
  <si>
    <t>*State Statute prohibits the transfer of funds out of the Transportation Fund.</t>
  </si>
  <si>
    <t>*State Statute prohibits the transfer of funds out of the Special Building and Technology Fund.</t>
  </si>
  <si>
    <t>Non-Appropriated Operating Reserves must not exceed 15% of Total General Fund Expenditures and Reserves</t>
  </si>
  <si>
    <t>15% of Total General Fund Expenditures and Reserves</t>
  </si>
  <si>
    <t>General Fund Non-Appropriated Operating Reserves</t>
  </si>
  <si>
    <t>Capital Outlay</t>
  </si>
  <si>
    <t xml:space="preserve">     County/Intermediate Sources</t>
  </si>
  <si>
    <t>Other Appropriated Reserves</t>
  </si>
  <si>
    <t>1900-2099 - Cocurricular Activities - Non-Athletic</t>
  </si>
  <si>
    <t>Local Sources</t>
  </si>
  <si>
    <t>2000-2999</t>
  </si>
  <si>
    <t>1000-1999</t>
  </si>
  <si>
    <t>Intermediate Sources</t>
  </si>
  <si>
    <t>State Sources</t>
  </si>
  <si>
    <t>Federal Sources</t>
  </si>
  <si>
    <t>Allocation from the General Fund**</t>
  </si>
  <si>
    <r>
      <t xml:space="preserve">INSTRUCTIONAL PROGRAM - </t>
    </r>
    <r>
      <rPr>
        <sz val="8"/>
        <color indexed="10"/>
        <rFont val="Helv"/>
      </rPr>
      <t>(PROGRAM CODE 0040 IS RECOMMENDED FOR USE IN FUND 19)</t>
    </r>
  </si>
  <si>
    <t>SUPPORT PROGRAMS - 2100 THROUGH 3300</t>
  </si>
  <si>
    <t>OTHER USES - PROGRAM 5000</t>
  </si>
  <si>
    <t>Allocation From General Fund**</t>
  </si>
  <si>
    <t>19XX</t>
  </si>
  <si>
    <t>TOTAL REVENUE (Sum of lines 1-7)</t>
  </si>
  <si>
    <t>1.</t>
  </si>
  <si>
    <t>2.</t>
  </si>
  <si>
    <t>3.</t>
  </si>
  <si>
    <t>Total Instructional Program Expenditures (Sum of lines 10-18)</t>
  </si>
  <si>
    <t>Total Support Program Expenditures (Sum of lines 20-28)</t>
  </si>
  <si>
    <t>TOTAL EXPENDITURES AND OTHER USES(Sum of lines 19 &amp; 29)</t>
  </si>
  <si>
    <t>TOTAL APPROPRIATED RESERVES (Sum of lines 31-35)</t>
  </si>
  <si>
    <t>TOTAL PUPIL ACTIVITY AGENCY FUND EXPENDITURES AND APPROPRIATED RESERVES (Sum of lines 30 &amp; 36)</t>
  </si>
  <si>
    <t>TOTAL REVENUE INCLUDING BEGINNING FUND BALANCE (sum of line 8 &amp; BFB)</t>
  </si>
  <si>
    <t>TOTAL REVENUE INCLUDING BEGINNING FUND BALANCE (Sum of line 9 and BFB)</t>
  </si>
  <si>
    <t>TOTAL EXPENSES AND OTHER USES (Sum of lines 13-25)</t>
  </si>
  <si>
    <t>TOTAL REVENUE (Sum of lines 1-10)</t>
  </si>
  <si>
    <t>Other Revenue and Other Sources (includes increases in assets for agency funds)</t>
  </si>
  <si>
    <t>TOTAL REVENUE INCLUDING BEGINNING FUND BALANCE Sum of line 8 and BRE)</t>
  </si>
  <si>
    <t>TOTAL EXPENSES AND OTHER USES(Sum of lines 9-17)</t>
  </si>
  <si>
    <t>TOTAL OTHER ENTERPRISE FUND EXPENSES AND APPROPRIATED RESERVES (Sum of lines 18 &amp; 24)</t>
  </si>
  <si>
    <t>TOTAL EXPENSES AND OTHER USES (Sum of lines 8-16)</t>
  </si>
  <si>
    <t>TOTAL RISK RELATED ACTIVITY FUND EXPENDITURES AND APPROPRIATED RESERVES (Sum of lines 17 &amp; 23)</t>
  </si>
  <si>
    <t>TOTAL REVENUE INCLUDING BEGINNING FUND BALANCE Sum of line 11 and BFB)</t>
  </si>
  <si>
    <t>TOTAL REVENUE INCLUDING BEGINNING FUND BALANCE Sum of line 7 and BFB)</t>
  </si>
  <si>
    <t>TOTAL OTHER INTERNAL SERVICE FUND EXPENDITURES AND APPROPRIATED RESERVES (Sum of line 21 &amp; 27)</t>
  </si>
  <si>
    <t>Premium/Discount</t>
  </si>
  <si>
    <t>Accrued Interest</t>
  </si>
  <si>
    <t>TOTAL REVENUE (Sum of lines 1 - 13)</t>
  </si>
  <si>
    <t>TOTAL REVENUE INCLUDING BEGINNING FUND BALANCE (Sum of line 14 and BFB)</t>
  </si>
  <si>
    <t>Principal</t>
  </si>
  <si>
    <r>
      <t xml:space="preserve">FEDERAL FUNDS NOT IN OTHER FUNDS - </t>
    </r>
    <r>
      <rPr>
        <i/>
        <sz val="8"/>
        <color indexed="10"/>
        <rFont val="Helv"/>
      </rPr>
      <t>LIST ALL FEDERAL GRANTS BY GRANT/PROJECT CODE AND TITLE</t>
    </r>
  </si>
  <si>
    <t>TOTAL STATE GRANT REVENUE NOT INCLUDED IN OTHER FUNDS (Sum of lines 1-6)</t>
  </si>
  <si>
    <t>TOTAL FEDERAL GRANT REVENUE NOT INCLUDED IN OTHER FUNDS (Sum of lines 8-17)</t>
  </si>
  <si>
    <t>FEDERAL GRANT/PROJECT TITLE</t>
  </si>
  <si>
    <t>STATE GRANT/PROJECT TITLE</t>
  </si>
  <si>
    <t>INSTRUCTIONAL PROGRAMS - 0010 THROUGH 2099</t>
  </si>
  <si>
    <t>TOTAL REVENUE (Sum of lines 1-5)</t>
  </si>
  <si>
    <t>TOTAL REVENUE INCLUDING BEGINNING ASSETS (Sum of line 6 and BFB)</t>
  </si>
  <si>
    <t>Total Instructional Program Expenditures (Sum of lines 7-15)</t>
  </si>
  <si>
    <t>Total Support Program Expenditures (Sum of lines 17-25)</t>
  </si>
  <si>
    <t>TOTAL EXPENDITURES AND OTHER USES(Sum of lines 16 &amp; 26)</t>
  </si>
  <si>
    <t>TOTAL REVENUE INCLUDING BEGINNING FUND BALANCE (Sum of line 4 and BFB)</t>
  </si>
  <si>
    <t>Total Instructional Program Expenditures (Sum of lines 5-13)</t>
  </si>
  <si>
    <t>Total Support Program Expenditures (Sum of lines 15-23)</t>
  </si>
  <si>
    <t>TOTAL EXPENDITURES AND OTHER USES(Sum of lines 14 &amp; 24)</t>
  </si>
  <si>
    <t>RISK-RELATED ACTIVITY  FUND</t>
  </si>
  <si>
    <t>OTHER INTERNAL SERVICE FUNDS (COMBINED)</t>
  </si>
  <si>
    <t>PUPIL ACTIVITY AGENCY FUND</t>
  </si>
  <si>
    <t>TRUST AND OTHER AGENCY FUNDS (COMBINED)</t>
  </si>
  <si>
    <t>COMPONENT UNITS (COMBINED)</t>
  </si>
  <si>
    <t>Consolidated Budget Summary</t>
  </si>
  <si>
    <t>Net</t>
  </si>
  <si>
    <t>District</t>
  </si>
  <si>
    <t>Description</t>
  </si>
  <si>
    <t>Operating</t>
  </si>
  <si>
    <t>Allocation to Charter School (fund 11)</t>
  </si>
  <si>
    <t>Total</t>
  </si>
  <si>
    <t>(Other Funds)</t>
  </si>
  <si>
    <t>INCOME AND OTHER SOURCES</t>
  </si>
  <si>
    <t>TOTAL INCOME (Sum of lines 1-11)</t>
  </si>
  <si>
    <t>TOTAL INCOME INCLUDING BEGINNING RETAINED EARNINGS (Sum of line 12 and BRE)</t>
  </si>
  <si>
    <t>Allocations</t>
  </si>
  <si>
    <t>Beginning Fund Balance</t>
  </si>
  <si>
    <t>Revenues</t>
  </si>
  <si>
    <t>Transfers Between Funds</t>
  </si>
  <si>
    <t xml:space="preserve">     Total Funds Available</t>
  </si>
  <si>
    <t>Expenditures</t>
  </si>
  <si>
    <t>TABOR Amendment Reserves</t>
  </si>
  <si>
    <r>
      <t xml:space="preserve">TRANSFERS FROM(POSITIVE)/TO(NEGATIVE) OTHER FUNDS - </t>
    </r>
    <r>
      <rPr>
        <i/>
        <sz val="8"/>
        <color indexed="10"/>
        <rFont val="Helv"/>
      </rPr>
      <t>LIST ALL GRANTS BY GRANT/PROJECT CODE, TITLE AND FUND</t>
    </r>
  </si>
  <si>
    <t>TOTAL LOCAL AND INTERMEDIATE GRANT EXPENDITURES NOT INCLUDED IN OTHER FUNDS</t>
  </si>
  <si>
    <t>Allocation to Capital Reserve or Insurance Reserve (Funds 21, 18, 43)</t>
  </si>
  <si>
    <t>*Transfers should only be made to/from funds 21 - Capital Reserve Fund or 43 - Capital Reserve Capital Projects Fund</t>
  </si>
  <si>
    <t>*Transfers should only be made to/from funds 18 - Insurance Reserve Fund or 43 - Capital Reserve Capital Projects Fund</t>
  </si>
  <si>
    <t>4.</t>
  </si>
  <si>
    <t>5.</t>
  </si>
  <si>
    <t>6.</t>
  </si>
  <si>
    <t>7.</t>
  </si>
  <si>
    <t>8.</t>
  </si>
  <si>
    <t>TOTAL REVENUE INCLUDING BEGINNING FUND BALANCE (Sum of line 8 and BFB)</t>
  </si>
  <si>
    <t>1420-1430</t>
  </si>
  <si>
    <t>Delinquent Taxes and Penalties</t>
  </si>
  <si>
    <t>Transportation Fees From Other School Districts or BOCES</t>
  </si>
  <si>
    <t>Transportation Fees form Other Sources</t>
  </si>
  <si>
    <t>State Transportation Revenues</t>
  </si>
  <si>
    <t>Other Revenues</t>
  </si>
  <si>
    <t>9.</t>
  </si>
  <si>
    <t>12.</t>
  </si>
  <si>
    <t>13.</t>
  </si>
  <si>
    <t>TOTAL REVENUE (Sum of lines 1-11)</t>
  </si>
  <si>
    <t>10.</t>
  </si>
  <si>
    <t>11.</t>
  </si>
  <si>
    <t>Purchased Professional and Technical Services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</si>
  <si>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</si>
  <si>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</si>
  <si>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</si>
  <si>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</si>
  <si>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</si>
  <si>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</si>
  <si>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</si>
  <si>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</si>
  <si>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</si>
  <si>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Revenue From Local and Intermediate Sources</t>
  </si>
  <si>
    <t>Revenue From State Sources</t>
  </si>
  <si>
    <t>Revenue From Federal Sources</t>
  </si>
  <si>
    <t>0800-0999</t>
  </si>
  <si>
    <t>23.</t>
  </si>
  <si>
    <t>24.</t>
  </si>
  <si>
    <t>25.</t>
  </si>
  <si>
    <t>26.</t>
  </si>
  <si>
    <t>Total Other Uses Expenditures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</si>
  <si>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</si>
  <si>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</si>
  <si>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</si>
  <si>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</si>
  <si>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</si>
  <si>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</si>
  <si>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</si>
  <si>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</si>
  <si>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</si>
  <si>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</si>
  <si>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TOTAL OTHER USES</t>
  </si>
  <si>
    <t>39.</t>
  </si>
  <si>
    <t>40.</t>
  </si>
  <si>
    <t>41.</t>
  </si>
  <si>
    <t>42.</t>
  </si>
  <si>
    <t>43.</t>
  </si>
  <si>
    <t>44.</t>
  </si>
  <si>
    <t>45.</t>
  </si>
  <si>
    <t>Foundation/</t>
  </si>
  <si>
    <t>Component</t>
  </si>
  <si>
    <t>Units</t>
  </si>
  <si>
    <t>(26-29)                              Other Special Revenue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</si>
  <si>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</si>
  <si>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</si>
  <si>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</si>
  <si>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</si>
  <si>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</si>
  <si>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</si>
  <si>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</si>
  <si>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</si>
  <si>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</si>
  <si>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</si>
  <si>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</si>
  <si>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</si>
  <si>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</si>
  <si>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</si>
  <si>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</si>
  <si>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</si>
  <si>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</si>
  <si>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</si>
  <si>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</si>
  <si>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</si>
  <si>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</si>
  <si>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</si>
  <si>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</si>
  <si>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</si>
  <si>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</si>
  <si>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</si>
  <si>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</si>
  <si>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</si>
  <si>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</si>
  <si>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</si>
  <si>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</si>
  <si>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</si>
  <si>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</si>
  <si>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</si>
  <si>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Earnings of Investments</t>
  </si>
  <si>
    <t>5110</t>
  </si>
  <si>
    <t>19</t>
  </si>
  <si>
    <t>5120</t>
  </si>
  <si>
    <t>5130</t>
  </si>
  <si>
    <t>Revenue from Intermediate Sources</t>
  </si>
  <si>
    <t>Bond Principal</t>
  </si>
  <si>
    <t>*Transfers should only be made to/from funds 21 - Capital Reserve Fund or 18 - Insurance Reserve Fund</t>
  </si>
  <si>
    <t>*Transfers should not be made to/from funds 21 - Capital Reserve Fund, 18 - Insurance Reserve Fund, or 43 - Capital Reserve Capital Projects Fund.</t>
  </si>
  <si>
    <t>LOCAL AND INTERMEDIATE GRANT/PROJECT TITLE</t>
  </si>
  <si>
    <t>Insurance Premiums (typically Program 2600)</t>
  </si>
  <si>
    <t>Liability Insurance (typically Program 2600)</t>
  </si>
  <si>
    <t>Vehicle Insurance - Program Code 2720 (or 2700)</t>
  </si>
  <si>
    <t>Vehicle Insurance - Program Code 3130 (or 3100)</t>
  </si>
  <si>
    <t>Vehicle Insurance - Program Code 2650 (or 2600)</t>
  </si>
  <si>
    <t>12b</t>
  </si>
  <si>
    <t>12c</t>
  </si>
  <si>
    <t>12a</t>
  </si>
  <si>
    <t>Other Expenditures (Program 2600)</t>
  </si>
  <si>
    <t>PROGRAM 2100-3300</t>
  </si>
  <si>
    <t>PROGRAMS 2100-4000</t>
  </si>
  <si>
    <t>TOTAL Local, State, Federal Expenditures</t>
  </si>
  <si>
    <t>Programs 2100-3400</t>
  </si>
  <si>
    <t>Programs 2100-4000</t>
  </si>
  <si>
    <t>Adjustments to Categorical Revenue due to CDE audit findings - positive or negative</t>
  </si>
  <si>
    <r>
      <t xml:space="preserve">LOCAL AND INTERMEDIATE GRANTS NOT IN OTHER FUNDS - </t>
    </r>
    <r>
      <rPr>
        <i/>
        <sz val="8"/>
        <color indexed="10"/>
        <rFont val="Helv"/>
      </rPr>
      <t>LIST ALL LOCAL AND INTERMEDIATE GRANTS BY GRANT/PROJECT CODE AND TITLE</t>
    </r>
  </si>
  <si>
    <t>Fund 19: Colorado Pre-School Fund</t>
  </si>
  <si>
    <t>19               Colorado Preschool Fund. . . . . . . . . . . . . . . . . . . . . . . . . . . . . . . . . . . . . . . . . . . . . . . . . . . . . . . . . . . . . . . . .</t>
  </si>
  <si>
    <t>Note:         Fund 63 may be used as another risk-related activity fund.  It will roll to Fund 64</t>
  </si>
  <si>
    <t>TOTAL LOCAL AND INTERMEDIATE GRANT REVENUE NOT INCLUDED IN OTHER FUNDS</t>
  </si>
  <si>
    <t>GRANT/PROJECT TITLE AND FUND TRANSFERRED FROM/TO</t>
  </si>
  <si>
    <t>TOTAL STATE, FEDERAL AND LOCAL DESIGNATED PURPOSE GRANT REVENUE AND OTHER SOURCES INCLUDING BFB</t>
  </si>
  <si>
    <t>Non-appropriated Reserves</t>
  </si>
  <si>
    <t xml:space="preserve">     Total Appropriations and Non-appropriated Reserves</t>
  </si>
  <si>
    <t>Summary Page 2</t>
  </si>
  <si>
    <t>School District Operating Funds - Budgeted Revenues</t>
  </si>
  <si>
    <t>Capital</t>
  </si>
  <si>
    <t>Designated</t>
  </si>
  <si>
    <t>Pupil</t>
  </si>
  <si>
    <t>Insurance</t>
  </si>
  <si>
    <t>Special</t>
  </si>
  <si>
    <t>Food</t>
  </si>
  <si>
    <t>Other</t>
  </si>
  <si>
    <t>Internal</t>
  </si>
  <si>
    <t>General</t>
  </si>
  <si>
    <t>Reserve</t>
  </si>
  <si>
    <t>Salary Schedule</t>
  </si>
  <si>
    <t>S D</t>
  </si>
  <si>
    <t>BASE</t>
  </si>
  <si>
    <t>T O</t>
  </si>
  <si>
    <t>DOWN</t>
  </si>
  <si>
    <t>E W</t>
  </si>
  <si>
    <t>ACROSS</t>
  </si>
  <si>
    <t>P N</t>
  </si>
  <si>
    <t>MA-DOWN</t>
  </si>
  <si>
    <t>BA</t>
  </si>
  <si>
    <t>BA+12</t>
  </si>
  <si>
    <t>BA+24</t>
  </si>
  <si>
    <t>BA+36</t>
  </si>
  <si>
    <t>BA+45</t>
  </si>
  <si>
    <t>MA</t>
  </si>
  <si>
    <t>MA+12</t>
  </si>
  <si>
    <t>MA+24</t>
  </si>
  <si>
    <t>MA+36</t>
  </si>
  <si>
    <t>MA+45</t>
  </si>
  <si>
    <t>SPECED</t>
  </si>
  <si>
    <t>Salary Schedule for Certified Staff</t>
  </si>
  <si>
    <t>Others</t>
  </si>
  <si>
    <t>State Account Number</t>
  </si>
  <si>
    <t xml:space="preserve">Total </t>
  </si>
  <si>
    <t xml:space="preserve">Salary </t>
  </si>
  <si>
    <t>Job</t>
  </si>
  <si>
    <t>Grant</t>
  </si>
  <si>
    <t>Add'l</t>
  </si>
  <si>
    <t>Contract</t>
  </si>
  <si>
    <t>FTE %</t>
  </si>
  <si>
    <t>PY</t>
  </si>
  <si>
    <t>Benefit</t>
  </si>
  <si>
    <t>Position</t>
  </si>
  <si>
    <t>Location</t>
  </si>
  <si>
    <t>SRE</t>
  </si>
  <si>
    <t>Class</t>
  </si>
  <si>
    <t>Code</t>
  </si>
  <si>
    <t>Employee Name</t>
  </si>
  <si>
    <t>Education</t>
  </si>
  <si>
    <t>Years in District</t>
  </si>
  <si>
    <t>Amount</t>
  </si>
  <si>
    <t>PERA</t>
  </si>
  <si>
    <t>Medicare</t>
  </si>
  <si>
    <t>Health</t>
  </si>
  <si>
    <t>Dental</t>
  </si>
  <si>
    <t>Life</t>
  </si>
  <si>
    <t>St. Disab.</t>
  </si>
  <si>
    <t>Start Date</t>
  </si>
  <si>
    <t>1.00 = 100%</t>
  </si>
  <si>
    <t>Salary</t>
  </si>
  <si>
    <t>Costs</t>
  </si>
  <si>
    <t>2400</t>
  </si>
  <si>
    <t>0060</t>
  </si>
  <si>
    <t>2220</t>
  </si>
  <si>
    <t>2600</t>
  </si>
  <si>
    <t>2700</t>
  </si>
  <si>
    <t>1100</t>
  </si>
  <si>
    <t>0010</t>
  </si>
  <si>
    <t>0040</t>
  </si>
  <si>
    <t>1200</t>
  </si>
  <si>
    <t>Step -</t>
  </si>
  <si>
    <t>Level</t>
  </si>
  <si>
    <t>Directions:</t>
  </si>
  <si>
    <r>
      <t xml:space="preserve">Insert the </t>
    </r>
    <r>
      <rPr>
        <b/>
        <sz val="10"/>
        <rFont val="Arial"/>
        <family val="2"/>
      </rPr>
      <t>BASE</t>
    </r>
    <r>
      <rPr>
        <sz val="10"/>
        <rFont val="Arial"/>
        <family val="2"/>
      </rPr>
      <t xml:space="preserve"> amount in cell C11</t>
    </r>
  </si>
  <si>
    <r>
      <t>Insert the Step Increase amount (</t>
    </r>
    <r>
      <rPr>
        <b/>
        <sz val="10"/>
        <rFont val="Arial"/>
        <family val="2"/>
      </rPr>
      <t>DOWN</t>
    </r>
    <r>
      <rPr>
        <sz val="10"/>
        <rFont val="Arial"/>
        <family val="2"/>
      </rPr>
      <t>) in cell C12</t>
    </r>
  </si>
  <si>
    <t>0010 - Elementary Instructional Program</t>
  </si>
  <si>
    <t>0020 - Middle School  Instructional Program</t>
  </si>
  <si>
    <t>1600 - Technical Education/Computer Technology  Program</t>
  </si>
  <si>
    <t>2210 - Improvement of Instructional Services</t>
  </si>
  <si>
    <t xml:space="preserve">2400 - School Administration </t>
  </si>
  <si>
    <t>5a</t>
  </si>
  <si>
    <t>6a</t>
  </si>
  <si>
    <t>13a</t>
  </si>
  <si>
    <t>20a</t>
  </si>
  <si>
    <t>21a</t>
  </si>
  <si>
    <t>27a</t>
  </si>
  <si>
    <t>28a</t>
  </si>
  <si>
    <t xml:space="preserve">2300 - General Administration </t>
  </si>
  <si>
    <r>
      <t>Insert the Education Level increase amount (</t>
    </r>
    <r>
      <rPr>
        <b/>
        <sz val="10"/>
        <rFont val="Arial"/>
        <family val="2"/>
      </rPr>
      <t>ACROSS</t>
    </r>
    <r>
      <rPr>
        <sz val="10"/>
        <rFont val="Arial"/>
        <family val="2"/>
      </rPr>
      <t>) in cell C13</t>
    </r>
  </si>
  <si>
    <r>
      <t>Insert the Step increase amount for Education Level at MA or higher (</t>
    </r>
    <r>
      <rPr>
        <b/>
        <sz val="10"/>
        <rFont val="Arial"/>
        <family val="2"/>
      </rPr>
      <t>MA-DOWN</t>
    </r>
    <r>
      <rPr>
        <sz val="10"/>
        <rFont val="Arial"/>
        <family val="2"/>
      </rPr>
      <t>) in cell C14</t>
    </r>
  </si>
  <si>
    <t>Prior Year Actual - Audited FY07-08</t>
  </si>
  <si>
    <t>Current Fiscal Year - Budgeted FY08-09</t>
  </si>
  <si>
    <t>Current Fiscal Year - Projected FY08-09</t>
  </si>
  <si>
    <t>Original Ensuing Fiscal Year - Budget FY09-10</t>
  </si>
  <si>
    <t>Adjustments Ensuing Fiscal Year - Budget FY09-10</t>
  </si>
  <si>
    <t>Revised Ensuing Fiscal Year - Budget FY09-10</t>
  </si>
  <si>
    <t>PROGRAMS 0010-4000</t>
  </si>
  <si>
    <t>Fund 10:</t>
  </si>
  <si>
    <t>Staff Details page calculation - Salaries</t>
  </si>
  <si>
    <t>Sum of all Fund 10 program linked Salaries lines</t>
  </si>
  <si>
    <t>Staff Details page calculation - Benefits</t>
  </si>
  <si>
    <t>Sum of all Fund 10 program linked Benefits lines</t>
  </si>
  <si>
    <t>Difference - Look for rose colored cells on the "Staff Details" tab to be addressed</t>
  </si>
  <si>
    <t>Fund 11:</t>
  </si>
  <si>
    <t>Fund 19:</t>
  </si>
  <si>
    <t>Sum of all Fund 11 program linked Salaries lines</t>
  </si>
  <si>
    <t>Sum of all Fund 11 program linked Benefits lines</t>
  </si>
  <si>
    <t>Sum of all Fund 19 program linked Salaries lines</t>
  </si>
  <si>
    <t>Sum of all Fund 19 program linked Benefits lines</t>
  </si>
  <si>
    <t>Fund 20:</t>
  </si>
  <si>
    <t>Fund 22:</t>
  </si>
  <si>
    <t>Fund 23:</t>
  </si>
  <si>
    <t>Sum of all Fund 23 program linked Salaries lines</t>
  </si>
  <si>
    <t>Sum of all Fund 23 program linked Benefits lines</t>
  </si>
  <si>
    <t>Fund 51:</t>
  </si>
  <si>
    <t>Sum of all Fund 51 program linked Salaries lines</t>
  </si>
  <si>
    <t>Sum of all Fund 51 program linked Benefits lines</t>
  </si>
  <si>
    <r>
      <t>____</t>
    </r>
    <r>
      <rPr>
        <sz val="8"/>
        <color indexed="12"/>
        <rFont val="Helv"/>
      </rPr>
      <t>___ in ___</t>
    </r>
    <r>
      <rPr>
        <sz val="8"/>
        <color indexed="12"/>
        <rFont val="Helv"/>
      </rPr>
      <t>___________ County</t>
    </r>
  </si>
  <si>
    <t>Grants</t>
  </si>
  <si>
    <t>Activity</t>
  </si>
  <si>
    <t>Revenue</t>
  </si>
  <si>
    <t>Service</t>
  </si>
  <si>
    <t>Enterprise</t>
  </si>
  <si>
    <t>Fund</t>
  </si>
  <si>
    <t>Funds</t>
  </si>
  <si>
    <t>Revenue:</t>
  </si>
  <si>
    <t xml:space="preserve">     State Formula</t>
  </si>
  <si>
    <t xml:space="preserve">          Local Property Tax</t>
  </si>
  <si>
    <t>Note:  Do not change the size or location of this schedule, will impact linkage.</t>
  </si>
  <si>
    <t>Fund 79, the GASB 34 Permanent Fund is NOT a fund that requires/follows CDE-18 budgetary guidelines.</t>
  </si>
  <si>
    <t>Fund 90, the District Debt Fund, is NOT a fund that requires/follows CDE-18 budgetary guidelines.</t>
  </si>
  <si>
    <t>PRE-SCHOOL FUND</t>
  </si>
  <si>
    <t>Additional worksheets to assist you in the budget process</t>
  </si>
  <si>
    <t>COLORADO SCHOOL DISTRICT/BOCES</t>
  </si>
  <si>
    <t xml:space="preserve">FOR  SCHOOL DISTRICT (NAME)    </t>
  </si>
  <si>
    <t xml:space="preserve">HEADQUARTERED IN (COUNTY)  </t>
  </si>
  <si>
    <t xml:space="preserve">OR BOCES  </t>
  </si>
  <si>
    <t>CONTENTS</t>
  </si>
  <si>
    <t>Fund Type &amp;</t>
  </si>
  <si>
    <t>Fund Number</t>
  </si>
  <si>
    <t>TOTAL FEDERAL GRANT EXPENDITURES NOT INCLUDED IN OTHER FUNDS (Sum of lines 8-17)</t>
  </si>
  <si>
    <t>TOTAL STATE GRANT EXPENDITURES NOT INCLUDED IN OTHER FUNDS (Sum of lines 1-6)</t>
  </si>
  <si>
    <t>TOTAL STATE, FEDERAL AND LOCAL DESIGNATED PURPOSE GRANT EXPENDITURES AND OTHER USES</t>
  </si>
  <si>
    <t>TOTAL INSTRUCTIONAL EXPENDITURES</t>
  </si>
  <si>
    <t>TOTAL SUPPORT SERVICES EXPENDITURES</t>
  </si>
  <si>
    <r>
      <t xml:space="preserve">OTHER USES - </t>
    </r>
    <r>
      <rPr>
        <i/>
        <sz val="8"/>
        <color indexed="10"/>
        <rFont val="Helv"/>
      </rPr>
      <t>LIST ALL GRANTS BY GRANT/PROJECT CODE, TITLE AND FUND</t>
    </r>
  </si>
  <si>
    <t>(Must not exceed 15% of Total Expenditures and Reserves)</t>
  </si>
  <si>
    <t>Non-appropriated Operating Reserves</t>
  </si>
  <si>
    <t>TOTAL EXPENDITURES AND OTHER USES (Sum of lines 16 - 18)</t>
  </si>
  <si>
    <t>TOTAL REVENUE INCLUDING BEGINNING FUND BALANCE (Sum of line 10 and BFB)</t>
  </si>
  <si>
    <t>TOTAL REVENUE (Sum of lines 1 - 9)</t>
  </si>
  <si>
    <t>Purchased Services (Work Done By Outside Contractors)</t>
  </si>
  <si>
    <t>Other Property</t>
  </si>
  <si>
    <t>Other Objects and Uses</t>
  </si>
  <si>
    <t>Debt Issuance Costs</t>
  </si>
  <si>
    <t>TOTAL REVENUE INCLUDING BEGINNING FUND BALANCE (Sum of line 12 and BFB)</t>
  </si>
  <si>
    <r>
      <t xml:space="preserve">1700 - Special Education </t>
    </r>
    <r>
      <rPr>
        <b/>
        <sz val="8"/>
        <color indexed="10"/>
        <rFont val="Helv"/>
      </rPr>
      <t>(All Special Education related accounts should be coded with Grant Code 3130)</t>
    </r>
  </si>
  <si>
    <t>5711</t>
  </si>
  <si>
    <t>TOTAL EXPENDITURES AND OTHER SOURCES (Sum of lines 8 - 15)</t>
  </si>
  <si>
    <t>Operating Reserve</t>
  </si>
  <si>
    <t>TABOR Emergency Reserve</t>
  </si>
  <si>
    <t>Reserve for Multi-Year Obligations</t>
  </si>
  <si>
    <t>Reserve for Encumbrances</t>
  </si>
  <si>
    <t>Other Reserves</t>
  </si>
  <si>
    <t>0100-0899</t>
  </si>
  <si>
    <t>9100</t>
  </si>
  <si>
    <t>9310</t>
  </si>
  <si>
    <t>9320</t>
  </si>
  <si>
    <t>9400</t>
  </si>
  <si>
    <t>9900</t>
  </si>
  <si>
    <t>1000-2999</t>
  </si>
  <si>
    <t xml:space="preserve">     Total Appropriations</t>
  </si>
  <si>
    <t>Debt Service Fund:</t>
  </si>
  <si>
    <t>Arbitrage Rebate Amount . . . . . . . . . . . . . . . . . . . . . . . . . . . . . . . . . . . . . . . . . . . . . . . . . . . . . . . . . . . . . . . . . . . . . .</t>
  </si>
  <si>
    <t>31               Bond Redemption Fund . . . . . . . . . . . . . . . . . . . . . . . . . . . . . . . . . . . . . . . . . . . . . . . . . . . . . . . . . . . . . . . . . . . . .</t>
  </si>
  <si>
    <t xml:space="preserve">          State Equalization</t>
  </si>
  <si>
    <t xml:space="preserve">          Specific Ownership Tax</t>
  </si>
  <si>
    <t xml:space="preserve">     Local Sources</t>
  </si>
  <si>
    <t xml:space="preserve">     State Sources</t>
  </si>
  <si>
    <t xml:space="preserve">     Federal Sources</t>
  </si>
  <si>
    <t>Total Revenue</t>
  </si>
  <si>
    <t>Revenue from Other Sources</t>
  </si>
  <si>
    <t>Allocation From General Fund</t>
  </si>
  <si>
    <t>Total Net Revenue</t>
  </si>
  <si>
    <t>Estimated Funded Pupil Count</t>
  </si>
  <si>
    <t>Budgeted Net Revenue Per Funded Pupil</t>
  </si>
  <si>
    <t>School District Operating Funds - Budgeted Expenditures</t>
  </si>
  <si>
    <t xml:space="preserve">Insurance </t>
  </si>
  <si>
    <t>Direct Instruction</t>
  </si>
  <si>
    <t>Instructional Support Services</t>
  </si>
  <si>
    <t>School Management</t>
  </si>
  <si>
    <t xml:space="preserve">     Subtotal</t>
  </si>
  <si>
    <t>District Wide Support Services</t>
  </si>
  <si>
    <t xml:space="preserve">     District Management</t>
  </si>
  <si>
    <t xml:space="preserve">     Plant Operations &amp; Maintenance</t>
  </si>
  <si>
    <t xml:space="preserve">     Pupil Transportation</t>
  </si>
  <si>
    <t xml:space="preserve">     Food Services</t>
  </si>
  <si>
    <t xml:space="preserve">     Other Support Services</t>
  </si>
  <si>
    <t>District Wide Support Services Subtotal</t>
  </si>
  <si>
    <t>Community Services</t>
  </si>
  <si>
    <t>Debt Services</t>
  </si>
  <si>
    <t>Other Operating Expenditures</t>
  </si>
  <si>
    <t>Total Budgeted Expenditures</t>
  </si>
  <si>
    <t>Budgeted Expenditures Per Funded Pupil</t>
  </si>
  <si>
    <t>Construction, Debt Payment &amp; Trust Funds - Budgeted Revenues</t>
  </si>
  <si>
    <t>Bond</t>
  </si>
  <si>
    <t>Trust/</t>
  </si>
  <si>
    <t>Redemption</t>
  </si>
  <si>
    <t>Projects</t>
  </si>
  <si>
    <t>Building &amp;</t>
  </si>
  <si>
    <t>Agency</t>
  </si>
  <si>
    <t>Building</t>
  </si>
  <si>
    <t>Technology</t>
  </si>
  <si>
    <t>(OTHER FUNDS)</t>
  </si>
  <si>
    <t>Construction, Debt Payment &amp; Trust Funds - Budgeted Expenditures</t>
  </si>
  <si>
    <t>Other Expenditures</t>
  </si>
  <si>
    <t>0020</t>
  </si>
  <si>
    <t>Applicable Indirect Cost Rate (%)</t>
  </si>
  <si>
    <t>OPTIONAL REPORT OF ADOPTED BUDGET - FORM CDE-18</t>
  </si>
  <si>
    <t>APPROPRIATION RESOLUTION</t>
  </si>
  <si>
    <t>0100</t>
  </si>
  <si>
    <t>0200</t>
  </si>
  <si>
    <t>0300</t>
  </si>
  <si>
    <t>0400</t>
  </si>
  <si>
    <t>0500</t>
  </si>
  <si>
    <t>0600</t>
  </si>
  <si>
    <t>0700</t>
  </si>
  <si>
    <t>0800</t>
  </si>
  <si>
    <t>FAX</t>
  </si>
  <si>
    <t>District Code</t>
  </si>
  <si>
    <t>Fund 10:  GENERAL FUND REVENUE</t>
  </si>
  <si>
    <t>* Round to Nearest Dollar *</t>
  </si>
  <si>
    <t>BEGINNING FUND BALANCE</t>
  </si>
  <si>
    <t xml:space="preserve">Budget Adoption and Appropriations Resolution </t>
  </si>
  <si>
    <t xml:space="preserve">BFB  </t>
  </si>
  <si>
    <t>Source</t>
  </si>
  <si>
    <t>Codes</t>
  </si>
  <si>
    <t>REVENUE FROM LOCAL SOURCES</t>
  </si>
  <si>
    <t>1110</t>
  </si>
  <si>
    <t>1120</t>
  </si>
  <si>
    <t>1130</t>
  </si>
  <si>
    <t>1140</t>
  </si>
  <si>
    <t>1310</t>
  </si>
  <si>
    <t>1311</t>
  </si>
  <si>
    <t>1410-1411</t>
  </si>
  <si>
    <t>1500</t>
  </si>
  <si>
    <t>1940</t>
  </si>
  <si>
    <t>1960</t>
  </si>
  <si>
    <t>Transfers In/Out</t>
  </si>
  <si>
    <t>Other Sources (please specify) _________________________________________</t>
  </si>
  <si>
    <t xml:space="preserve">If these sums do not net to zero then the transfers do not balance.  </t>
  </si>
  <si>
    <t>10               General Fund Revenue . . . . . . . . . . . . . . . . . . . . . . . . . . . . . . . . . . . . . . . . . . . . . . . . . . . . . . . . . . . . . . . . . . . . . . . .</t>
  </si>
  <si>
    <t>Internal Service Funds:</t>
  </si>
  <si>
    <t>10               General Fund Expenditures . . . . . . . . . . . . . . . . . . . . . . . . . . . . . . . . . . . . . . . . . . . . . . . . . . . . . . . . . . . . . . . . . .</t>
  </si>
  <si>
    <t>Special Revenue Funds:</t>
  </si>
  <si>
    <t>adopted budget.  22-44-107(2).</t>
  </si>
  <si>
    <t xml:space="preserve">23               Pupil Activity Special Revenue Fund  . . . . . . . . . . . . . . . . . . . . . . . . . . . . . . . . . . . . . . . . . . . . . . . . . . . . . . . . . . . . </t>
  </si>
  <si>
    <t xml:space="preserve">74              Pupil Activity Agency Fund . . . . . . . . . . . . . . . . . . . . . . . . . . . . . . . . . . . . . . . . . . . . . . . . . . . . . </t>
  </si>
  <si>
    <t>71-73 &amp; 75-79         Trust and Other Agency Funds . . . . . . . . . . . . . . . . . . . . . . . . . . . . . . . . . . . . . . . . . . . . . . . . . . . . . . . . . . . . .</t>
  </si>
  <si>
    <t>TOTAL REVENUE INCLUDING BEGINNING FUND BALANCE (Sum of line 17 and BFB)</t>
  </si>
  <si>
    <t>Other Purchased Student Transportation</t>
  </si>
  <si>
    <t>0561</t>
  </si>
  <si>
    <t>0562</t>
  </si>
  <si>
    <t>0563</t>
  </si>
  <si>
    <t>0564</t>
  </si>
  <si>
    <t>0565</t>
  </si>
  <si>
    <t>0566</t>
  </si>
  <si>
    <t>0569</t>
  </si>
  <si>
    <t>0580</t>
  </si>
  <si>
    <t>Subtotal 0010 - Elementary Instructional</t>
  </si>
  <si>
    <t>Subtotal 0020 - Middle School Instructional</t>
  </si>
  <si>
    <t>Subtotal 0060 - General Integrated Education</t>
  </si>
  <si>
    <t>Subtotal 1600 - Technical Education</t>
  </si>
  <si>
    <t>Subtotal 1700 - Special Education</t>
  </si>
  <si>
    <t>Indirect Cost Rate Calculation (0869)</t>
  </si>
  <si>
    <t>ARRA</t>
  </si>
  <si>
    <t>Charter</t>
  </si>
  <si>
    <t>CHARTER SCHOOL FUND</t>
  </si>
  <si>
    <t>a1</t>
  </si>
  <si>
    <t>Charter School Fund</t>
  </si>
  <si>
    <t>ARRA (Federal Stimulus Funding)  GRANTS FUND</t>
  </si>
  <si>
    <t>ARRA (Federal Stimulus Funding) Grants Fund</t>
  </si>
  <si>
    <t>ARRA (FEDERAL STIMULUS FUNDING) GRANTS FUND</t>
  </si>
  <si>
    <t>ARRA (Federal Stimulus Funding) GRANTS FUND</t>
  </si>
  <si>
    <t>1a. Charter School Fund</t>
  </si>
  <si>
    <t>1b. Insurance Reserve Fund</t>
  </si>
  <si>
    <t>1c. Pre-School Fund</t>
  </si>
  <si>
    <t>1c.</t>
  </si>
  <si>
    <t>FOUNDATION FUND</t>
  </si>
  <si>
    <t>11               Charter Fund Revenue . . . . . . . . . . . . . . . . . . . . . . . . . . . . . . . . . . . . . . . . . . . . . . . . . . . . . . . . . . . . . .</t>
  </si>
  <si>
    <t xml:space="preserve">11               Charter Fund Expenditures . . . . . . . . . . . . . . . . . . . . . . . . . . . . . . . . . . . . . . . . . . . . . . . . . . . . . . . . </t>
  </si>
  <si>
    <t>After the data is provided on the "Staff Details" tab, the Fund 22 Grants must be</t>
  </si>
  <si>
    <t>identified and added to row 3 of  the "Fund 22 Grants" tab.</t>
  </si>
  <si>
    <t>Also , add the grant description to row 4 of  the "Fund 22 Grants" tab.</t>
  </si>
  <si>
    <r>
      <rPr>
        <sz val="8"/>
        <rFont val="Helv"/>
      </rPr>
      <t>6. Commodities</t>
    </r>
    <r>
      <rPr>
        <strike/>
        <sz val="8"/>
        <rFont val="Helv"/>
      </rPr>
      <t xml:space="preserve"> (CFDA # 10.550)</t>
    </r>
    <r>
      <rPr>
        <sz val="8"/>
        <rFont val="Helv"/>
      </rPr>
      <t xml:space="preserve">  No longer reported as CFDA # 10.550</t>
    </r>
  </si>
  <si>
    <t>Note if the budget is the adopted or the revised</t>
  </si>
  <si>
    <r>
      <t xml:space="preserve">as specified in the </t>
    </r>
    <r>
      <rPr>
        <sz val="8"/>
        <color indexed="12"/>
        <rFont val="Helv"/>
      </rPr>
      <t>"____________ Budget"</t>
    </r>
    <r>
      <rPr>
        <sz val="8"/>
        <rFont val="Helv"/>
      </rPr>
      <t xml:space="preserve"> for the ensuing fiscal year beginning</t>
    </r>
  </si>
  <si>
    <t>3. TOTAL TABOR SPENDING FOR CURRENT FY (Line 1 minus Line 2)</t>
  </si>
  <si>
    <t>Percent Change in Denver-Boulder Consumer Price Index for prior CY</t>
  </si>
  <si>
    <t>FY2010-2011 Revised Budget</t>
  </si>
  <si>
    <t>To Determine your TABOR 3% Reserve Amount use 3% of Line 5</t>
  </si>
  <si>
    <t>3% of Current Year Spending = TABOR Minimum</t>
  </si>
  <si>
    <t>Summary Budget Form page is generated based on the data provided within this workbook.</t>
  </si>
  <si>
    <t>PROPOSED SALARY AND BENEFITS FY2011-2012</t>
  </si>
  <si>
    <t>II a. Are the Charter School Allocation out equal to the Allocations in?</t>
  </si>
  <si>
    <t>II b.  Are the Pre-School Allocations out equal to the Allocations in?</t>
  </si>
  <si>
    <t>III. Do the transfers in/out net to zero across all funds?</t>
  </si>
  <si>
    <t>IV. General Fund Non appropriated reserves limitation</t>
  </si>
  <si>
    <t>V.  Linkage of Salaries and Benefits lines with Staff Details page</t>
  </si>
  <si>
    <t>should be treated as a transfer</t>
  </si>
  <si>
    <t>39                        Non-Voter Approved Debt</t>
  </si>
  <si>
    <t>Non-Voter</t>
  </si>
  <si>
    <t>Approved Debt</t>
  </si>
  <si>
    <t>NON-VOTER APPROVED DEBT FUND</t>
  </si>
  <si>
    <t>i2</t>
  </si>
  <si>
    <t>Non-Voter Approved Debt Fund</t>
  </si>
  <si>
    <t>9a. Bond Redemption Fund</t>
  </si>
  <si>
    <t>9b. Non-Voter Approved Debt Fund</t>
  </si>
  <si>
    <t>932X</t>
  </si>
  <si>
    <t>Other Restricted Reserves</t>
  </si>
  <si>
    <t xml:space="preserve">   Other Restricted Reserves: 932X</t>
  </si>
  <si>
    <t xml:space="preserve">   Reserve for TABOR 3% - Program 9321</t>
  </si>
  <si>
    <t xml:space="preserve">   Res. for TABOR - Multi-Year Obligations Program 9322</t>
  </si>
  <si>
    <t>9322</t>
  </si>
  <si>
    <t>9321</t>
  </si>
  <si>
    <t>39               Non-Voter Approved Debt Service Fund . . . . . . . . . . . . . . . . . . . . . . . . . . . . . . . . . . . . . . . . . . . . . . . . . . . . . . . . . . . . . . . . . . . . .</t>
  </si>
  <si>
    <t>TOTAL APPROPRIATED RESERVES (Sum of 32 - 36)</t>
  </si>
  <si>
    <t>TOTAL FOOD SERVICE FUND EXPENSES AND APPROPRIATED RESERVES Summ of lines 27 &amp; 33)</t>
  </si>
  <si>
    <t>TOTAL FOUNDATION FUND EXPENDITURES AND APPROPRIATED RESERVES (Sum of lines 25 &amp; 30)</t>
  </si>
  <si>
    <t>TOTAL APPROPRIATED RESERVES (Sum of 22 - 26)</t>
  </si>
  <si>
    <t>TOTAL APPROPRIATED RESERVES (Sum of lines 45-49)</t>
  </si>
  <si>
    <t>TOTAL APPROPRIATED RESERVES (Sum of 19 - 22)</t>
  </si>
  <si>
    <t>TOTAL BOND REDEMPTION FUND EXPENDITURES AND APPROPRIATED RESERVES (Sum of lines 18 &amp; 23)</t>
  </si>
  <si>
    <t>Fund 39:  NON-VOTER APPROVED DEBT FUND</t>
  </si>
  <si>
    <t>Note:  Non-voter approved debt (Fund 39) must not be commingled with Voter approved debt (Fund 31)</t>
  </si>
  <si>
    <t>TOTAL APPROPRIATED RESERVES (Sum of 17 - 21)</t>
  </si>
  <si>
    <t>TOTAL APPROPRIATED RESERVES (Sum of lines 28-32)</t>
  </si>
  <si>
    <t>TOTAL PUPIL ACTIVITY AGENCY FUND EXPENDITURES AND APPROPRIATED RESERVES (Sum of lines 27 &amp; 32)</t>
  </si>
  <si>
    <t>TOTAL TRUST &amp; OTHER AGENCY FUND EXPENDITURES AND APPROPRIATED RESERVES (Sum of lines 25 &amp; 30)</t>
  </si>
  <si>
    <t>FY2014-15 SUMMARY BUDGET</t>
  </si>
  <si>
    <t>FY2014-2015 Revised Budget</t>
  </si>
  <si>
    <t>FISCAL YEAR 2014-2015</t>
  </si>
  <si>
    <t>FY 2014-2015</t>
  </si>
  <si>
    <t>FY2014-2015</t>
  </si>
  <si>
    <t>Prior Year Actual - Audited FY12-13</t>
  </si>
  <si>
    <t>Current Fiscal Year - Budgeted FY13-14</t>
  </si>
  <si>
    <t>Current Fiscal Year - Projected FY13-14</t>
  </si>
  <si>
    <t>Original Ensuing Fiscal Year - Budget FY14-15</t>
  </si>
  <si>
    <t>Adjustments Ensuing Fiscal Year - Budget FY14-15</t>
  </si>
  <si>
    <t>Revised Ensuing Fiscal Year - Budget FY14-15</t>
  </si>
  <si>
    <t>Fund 22: Governmental Grants Fund     FY 2014-2015</t>
  </si>
  <si>
    <t>July 1, 2014 and ending June 30, 2015.</t>
  </si>
  <si>
    <t>ESTIMATED FUNDED PUPIL COUNT FOR USE IN BUDGET YEAR 2014-2015</t>
  </si>
  <si>
    <t>RESOLUTION</t>
  </si>
  <si>
    <t>AUTHORIZING THE USE OF A PORTION OF BEGINNING FUND BALANCE AS AUTHORIZED BY COLORADO STATUTES</t>
  </si>
  <si>
    <t>Under Section 22-44-105(1.5)(a), A budget adopted pursuant to article 44 shall not provide</t>
  </si>
  <si>
    <t>expenditures, interfund transfers, or reserves, in excess of available revenues and</t>
  </si>
  <si>
    <t>beginning fund balances.  If the budget includes the use of a beginning fund balance,</t>
  </si>
  <si>
    <t>the school district board of education shall adopt a resolution specifically authorizing the</t>
  </si>
  <si>
    <t>WHEREAS, C.R.S. 22-44-105 states that a budget, duly adopted pursuant to this article,</t>
  </si>
  <si>
    <t>use of a portion of the beginning fund balance in the school district's budget.  The</t>
  </si>
  <si>
    <t>shall not provide for expenditures, interfund transfers, or reserves, in excess of available</t>
  </si>
  <si>
    <t>resolution, at a minimum, shall specify the amount of the beginning fund balance to be spent</t>
  </si>
  <si>
    <t>under the school district budget, state the purpose for which the expenditure is needed,</t>
  </si>
  <si>
    <t>and state the school district's plan to ensure that the use of the beginning fund balance will</t>
  </si>
  <si>
    <t>WHEREAS, the Board of Education may authorize the use of a portion of the beginning</t>
  </si>
  <si>
    <t>not lead to an ongoing deficit.</t>
  </si>
  <si>
    <t>fund balance in the budget, stating the amount to be used, the purpose for which the</t>
  </si>
  <si>
    <t>expenditure is needed, and the district's plan to ensure that the use of the beginning fund</t>
  </si>
  <si>
    <t>Under Section 22-44-105(1.5)(c ), If at any time during the fiscal year following the adoption</t>
  </si>
  <si>
    <t>of a budget by a board of education the school district determines that the use of an</t>
  </si>
  <si>
    <t>additional portion of the school district's beginning fund balance is necessary, the board</t>
  </si>
  <si>
    <t xml:space="preserve">WHEREAS, the Board of Education has determined the beginning fund balances in the </t>
  </si>
  <si>
    <t>of education shall adopt a resolution that meets at least the minimum requirements specified</t>
  </si>
  <si>
    <t>(state the individual funds involved)</t>
  </si>
  <si>
    <t>in paragraph (1) above before using the additional portion of the beginning fund balance.</t>
  </si>
  <si>
    <t>are sufficient to allow for the one-time expenditures and the action will not lead to an ongoing</t>
  </si>
  <si>
    <t>deficit.</t>
  </si>
  <si>
    <t>The next column shows a sample resolution which may be adopted at the time</t>
  </si>
  <si>
    <t>NOW, THEREFORE, BE IT RESOLVED:</t>
  </si>
  <si>
    <t>the board of education adopts the budget, or at any time the additional portion of beginning</t>
  </si>
  <si>
    <t>fund balance is identified.</t>
  </si>
  <si>
    <t>IN ACCORDANCE with C.R.S. 22-44-105, the Board of Education authorizes the use</t>
  </si>
  <si>
    <t>of a portion of the FY2014-15 beginning fund balance for the following funds:</t>
  </si>
  <si>
    <t>for the purpose/s set forth above will not lead to ongoing deficits in the funds.</t>
  </si>
  <si>
    <t>Adopted this (state the date of the resolution)</t>
  </si>
  <si>
    <t>(state the name of the school district)</t>
  </si>
  <si>
    <t>(Signature of person attesting to the Board President signature)</t>
  </si>
  <si>
    <t>Use this sample resolution for utilizing a portion of beginning fund balance.</t>
  </si>
  <si>
    <t>Best practice would be to incorporate these resolutions into the budget document.</t>
  </si>
  <si>
    <t>At a minimum, these documents should be kept on file for the district's audit.</t>
  </si>
  <si>
    <t>revenues and beginning fund balance.</t>
  </si>
  <si>
    <t>balance will not lead to an ongoing deficit.</t>
  </si>
  <si>
    <t>(state the individual funds involved, the amount for each fund, and the reason for its use)</t>
  </si>
  <si>
    <t>BE IT FURTHER RESOLVED, the use of this portion of these beginning fund balances</t>
  </si>
  <si>
    <t>Use this sample resolution for adopting a supplemental budget after January 31st</t>
  </si>
  <si>
    <t>(state the fund involved)</t>
  </si>
  <si>
    <t>SOURCE OF MONEY FOR A SPECIFIC PURPOSE AND NATURE OF PROJECT (brief summary)</t>
  </si>
  <si>
    <t>REVENUES:</t>
  </si>
  <si>
    <t xml:space="preserve">Under Section 22-44-110(5), After January 31, the board shall not review or change the </t>
  </si>
  <si>
    <t>budget except as authorized by this article; except that, where money for a specific</t>
  </si>
  <si>
    <t>Sources of Revenue</t>
  </si>
  <si>
    <t>purpose from other than ad valorem taxes subsequently become available to meet a</t>
  </si>
  <si>
    <t xml:space="preserve">Local </t>
  </si>
  <si>
    <t>contingency, the board may adopt a supplemental budget for expenditures not to exceed</t>
  </si>
  <si>
    <t>State</t>
  </si>
  <si>
    <t>the amount of said money and may appropriate said money therefrom.</t>
  </si>
  <si>
    <t>Federal</t>
  </si>
  <si>
    <t>A supplemental budget and the appropriation resolution must be adopted before</t>
  </si>
  <si>
    <t>Total Revenues</t>
  </si>
  <si>
    <t>expenditures relative to the supplemental budget are made.</t>
  </si>
  <si>
    <t>EXPENDITURES:</t>
  </si>
  <si>
    <t>Supplemental budgets and resolutions must include the name of the fund, receipts with</t>
  </si>
  <si>
    <t>sources of money clearly identified and expenditures by program and object.  The total</t>
  </si>
  <si>
    <t>expenditures must be equal to or less than the receipts.</t>
  </si>
  <si>
    <t>Expenditure Categories</t>
  </si>
  <si>
    <t>Salaries</t>
  </si>
  <si>
    <t>If a school district is authorized to raise and expend additional local property tax revenues</t>
  </si>
  <si>
    <t>Benefits</t>
  </si>
  <si>
    <t>Purchased Services</t>
  </si>
  <si>
    <t>by an election, the board of education may adopt a supplemental budget and an</t>
  </si>
  <si>
    <t>appropriation resolution to cover that portion of the fiscal year following such election.</t>
  </si>
  <si>
    <t>C.R.S. Section 22-44-110(6)</t>
  </si>
  <si>
    <t>Total Expenditures</t>
  </si>
  <si>
    <t>the board of education identifies a need for a supplemental budget appropriation.</t>
  </si>
  <si>
    <t>AUTHORIZING A SUPPLEMENTAL BUDGET AND APPROPRIATION AUTHORIZED BY COLORADO STATUTES</t>
  </si>
  <si>
    <t>as shown above, be appropriated to the (state the specific fund involved) for the fiscal year</t>
  </si>
  <si>
    <t>beginning July 1, 2014 and ending June 30, 2015.</t>
  </si>
  <si>
    <t>BE IT RESOLVED, that the additional expenditure amount of $                                      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</si>
</sst>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164" formatCode="#,##0.0_);\(#,##0.0\)"/>
    <numFmt numFmtId="165" formatCode="0_)"/>
    <numFmt numFmtId="166" formatCode="0.0%"/>
    <numFmt numFmtId="167" formatCode="mm/dd/yy;@"/>
    <numFmt numFmtId="168" formatCode="#,##0.000_);[Red]\(#,##0.000\)"/>
    <numFmt numFmtId="169" formatCode="#,##0.0000_);[Red]\(#,##0.0000\)"/>
    <numFmt numFmtId="170" formatCode="0.000"/>
  </numFmts>
  <fonts count="81" x14ac:knownFonts="1"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Helv"/>
    </font>
    <font>
      <sz val="12"/>
      <name val="Helv"/>
    </font>
    <font>
      <b/>
      <i/>
      <sz val="12"/>
      <name val="Helv"/>
    </font>
    <font>
      <b/>
      <sz val="10"/>
      <name val="Helv"/>
    </font>
    <font>
      <b/>
      <sz val="12"/>
      <name val="Helv"/>
    </font>
    <font>
      <b/>
      <sz val="8"/>
      <name val="Helv"/>
    </font>
    <font>
      <b/>
      <i/>
      <sz val="8"/>
      <name val="Helv"/>
    </font>
    <font>
      <b/>
      <u/>
      <sz val="8"/>
      <name val="Helv"/>
    </font>
    <font>
      <sz val="10"/>
      <name val="Helv"/>
    </font>
    <font>
      <i/>
      <sz val="8"/>
      <name val="Helv"/>
    </font>
    <font>
      <b/>
      <sz val="14"/>
      <name val="Helv"/>
    </font>
    <font>
      <sz val="8"/>
      <name val="Times"/>
    </font>
    <font>
      <sz val="8"/>
      <name val="Helv"/>
    </font>
    <font>
      <sz val="8"/>
      <color indexed="39"/>
      <name val="Helv"/>
    </font>
    <font>
      <sz val="8"/>
      <color indexed="8"/>
      <name val="Helv"/>
    </font>
    <font>
      <i/>
      <sz val="10"/>
      <name val="Helv"/>
    </font>
    <font>
      <u/>
      <sz val="8"/>
      <color indexed="12"/>
      <name val="Helv"/>
    </font>
    <font>
      <b/>
      <sz val="8"/>
      <color indexed="10"/>
      <name val="Helv"/>
    </font>
    <font>
      <sz val="8"/>
      <color indexed="10"/>
      <name val="Helv"/>
    </font>
    <font>
      <sz val="8"/>
      <color indexed="14"/>
      <name val="Helv"/>
    </font>
    <font>
      <i/>
      <sz val="8"/>
      <color indexed="10"/>
      <name val="Helv"/>
    </font>
    <font>
      <b/>
      <i/>
      <u/>
      <sz val="8"/>
      <name val="Helv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"/>
      <color indexed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indexed="9"/>
      <name val="Arial"/>
      <family val="2"/>
    </font>
    <font>
      <sz val="8"/>
      <color indexed="9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45"/>
      <name val="Arial"/>
      <family val="2"/>
    </font>
    <font>
      <sz val="8"/>
      <color indexed="57"/>
      <name val="Helv"/>
    </font>
    <font>
      <b/>
      <sz val="8"/>
      <color indexed="12"/>
      <name val="Arial"/>
      <family val="2"/>
    </font>
    <font>
      <strike/>
      <sz val="8"/>
      <name val="Helv"/>
    </font>
    <font>
      <sz val="8"/>
      <color indexed="56"/>
      <name val="Arial"/>
      <family val="2"/>
    </font>
    <font>
      <sz val="14"/>
      <color indexed="8"/>
      <name val="Arial"/>
      <family val="2"/>
    </font>
    <font>
      <strike/>
      <sz val="8"/>
      <color indexed="12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6">
    <xf numFmtId="37" fontId="0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54" fillId="3" borderId="0" applyNumberFormat="0" applyBorder="0" applyAlignment="0" applyProtection="0"/>
    <xf numFmtId="0" fontId="55" fillId="20" borderId="1" applyNumberFormat="0" applyAlignment="0" applyProtection="0"/>
    <xf numFmtId="0" fontId="56" fillId="21" borderId="2" applyNumberFormat="0" applyAlignment="0" applyProtection="0"/>
    <xf numFmtId="0" fontId="57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0" borderId="3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7" borderId="1" applyNumberFormat="0" applyAlignment="0" applyProtection="0"/>
    <xf numFmtId="0" fontId="63" fillId="0" borderId="6" applyNumberFormat="0" applyFill="0" applyAlignment="0" applyProtection="0"/>
    <xf numFmtId="0" fontId="64" fillId="22" borderId="0" applyNumberFormat="0" applyBorder="0" applyAlignment="0" applyProtection="0"/>
    <xf numFmtId="0" fontId="2" fillId="0" borderId="0"/>
    <xf numFmtId="0" fontId="52" fillId="0" borderId="0"/>
    <xf numFmtId="0" fontId="52" fillId="23" borderId="7" applyNumberFormat="0" applyFont="0" applyAlignment="0" applyProtection="0"/>
    <xf numFmtId="0" fontId="65" fillId="20" borderId="8" applyNumberFormat="0" applyAlignment="0" applyProtection="0"/>
    <xf numFmtId="9" fontId="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0" borderId="0" applyNumberFormat="0" applyFill="0" applyBorder="0" applyAlignment="0" applyProtection="0"/>
  </cellStyleXfs>
  <cellXfs count="797">
    <xf numFmtId="37" fontId="0" fillId="0" borderId="0" xfId="0"/>
    <xf numFmtId="37" fontId="0" fillId="0" borderId="0" xfId="0" applyAlignment="1" applyProtection="1">
      <alignment horizontal="left"/>
    </xf>
    <xf numFmtId="37" fontId="3" fillId="0" borderId="0" xfId="0" applyFont="1" applyAlignment="1" applyProtection="1">
      <alignment horizontal="left"/>
      <protection locked="0"/>
    </xf>
    <xf numFmtId="37" fontId="3" fillId="0" borderId="0" xfId="0" applyFont="1" applyProtection="1">
      <protection locked="0"/>
    </xf>
    <xf numFmtId="37" fontId="0" fillId="0" borderId="0" xfId="0" applyAlignment="1" applyProtection="1">
      <alignment horizontal="center"/>
    </xf>
    <xf numFmtId="37" fontId="0" fillId="0" borderId="0" xfId="0" applyNumberFormat="1" applyProtection="1"/>
    <xf numFmtId="37" fontId="0" fillId="0" borderId="0" xfId="0" applyProtection="1"/>
    <xf numFmtId="37" fontId="0" fillId="0" borderId="0" xfId="0" applyAlignment="1" applyProtection="1">
      <alignment horizontal="right"/>
    </xf>
    <xf numFmtId="37" fontId="3" fillId="0" borderId="0" xfId="0" applyNumberFormat="1" applyFont="1" applyProtection="1">
      <protection locked="0"/>
    </xf>
    <xf numFmtId="37" fontId="0" fillId="0" borderId="0" xfId="0" applyNumberFormat="1" applyAlignment="1" applyProtection="1">
      <alignment horizontal="right"/>
    </xf>
    <xf numFmtId="37" fontId="0" fillId="0" borderId="0" xfId="0" applyAlignment="1">
      <alignment horizontal="left"/>
    </xf>
    <xf numFmtId="37" fontId="0" fillId="0" borderId="10" xfId="0" applyBorder="1" applyAlignment="1" applyProtection="1">
      <alignment horizontal="center"/>
    </xf>
    <xf numFmtId="37" fontId="0" fillId="0" borderId="0" xfId="0" applyAlignment="1">
      <alignment horizontal="right"/>
    </xf>
    <xf numFmtId="37" fontId="0" fillId="0" borderId="0" xfId="0" applyNumberFormat="1" applyBorder="1" applyProtection="1"/>
    <xf numFmtId="37" fontId="3" fillId="0" borderId="0" xfId="0" applyNumberFormat="1" applyFont="1" applyBorder="1" applyProtection="1">
      <protection locked="0"/>
    </xf>
    <xf numFmtId="37" fontId="9" fillId="0" borderId="0" xfId="0" applyFont="1" applyAlignment="1" applyProtection="1">
      <alignment horizontal="left"/>
    </xf>
    <xf numFmtId="37" fontId="7" fillId="0" borderId="0" xfId="0" applyFont="1" applyAlignment="1"/>
    <xf numFmtId="37" fontId="0" fillId="0" borderId="0" xfId="0" applyAlignment="1"/>
    <xf numFmtId="37" fontId="8" fillId="0" borderId="0" xfId="0" applyFont="1"/>
    <xf numFmtId="37" fontId="9" fillId="0" borderId="0" xfId="0" applyFont="1"/>
    <xf numFmtId="37" fontId="0" fillId="0" borderId="11" xfId="0" applyBorder="1"/>
    <xf numFmtId="37" fontId="12" fillId="0" borderId="0" xfId="0" applyFont="1"/>
    <xf numFmtId="37" fontId="0" fillId="0" borderId="12" xfId="0" applyBorder="1"/>
    <xf numFmtId="37" fontId="0" fillId="0" borderId="13" xfId="0" applyBorder="1"/>
    <xf numFmtId="37" fontId="0" fillId="0" borderId="14" xfId="0" applyBorder="1"/>
    <xf numFmtId="37" fontId="4" fillId="0" borderId="15" xfId="0" applyFont="1" applyBorder="1"/>
    <xf numFmtId="37" fontId="4" fillId="0" borderId="16" xfId="0" applyFont="1" applyBorder="1"/>
    <xf numFmtId="37" fontId="14" fillId="0" borderId="15" xfId="0" applyFont="1" applyBorder="1"/>
    <xf numFmtId="37" fontId="14" fillId="0" borderId="12" xfId="0" applyFont="1" applyBorder="1"/>
    <xf numFmtId="37" fontId="14" fillId="0" borderId="16" xfId="0" applyFont="1" applyBorder="1"/>
    <xf numFmtId="37" fontId="14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0" xfId="0" applyFont="1" applyAlignment="1" applyProtection="1">
      <alignment horizontal="left"/>
    </xf>
    <xf numFmtId="37" fontId="10" fillId="0" borderId="0" xfId="0" applyFont="1" applyAlignment="1" applyProtection="1">
      <alignment horizontal="left"/>
    </xf>
    <xf numFmtId="37" fontId="11" fillId="0" borderId="0" xfId="0" applyFont="1" applyAlignment="1" applyProtection="1">
      <alignment horizontal="left"/>
    </xf>
    <xf numFmtId="37" fontId="9" fillId="0" borderId="0" xfId="0" applyFont="1" applyAlignment="1" applyProtection="1">
      <alignment horizontal="right"/>
    </xf>
    <xf numFmtId="37" fontId="3" fillId="0" borderId="22" xfId="0" applyNumberFormat="1" applyFont="1" applyBorder="1" applyProtection="1">
      <protection locked="0"/>
    </xf>
    <xf numFmtId="37" fontId="12" fillId="0" borderId="0" xfId="0" applyFont="1" applyAlignment="1" applyProtection="1">
      <alignment horizontal="left"/>
    </xf>
    <xf numFmtId="37" fontId="3" fillId="0" borderId="23" xfId="0" applyNumberFormat="1" applyFont="1" applyBorder="1" applyProtection="1">
      <protection locked="0"/>
    </xf>
    <xf numFmtId="37" fontId="0" fillId="0" borderId="24" xfId="0" applyNumberFormat="1" applyBorder="1" applyProtection="1"/>
    <xf numFmtId="37" fontId="3" fillId="0" borderId="24" xfId="0" applyNumberFormat="1" applyFont="1" applyBorder="1" applyProtection="1">
      <protection locked="0"/>
    </xf>
    <xf numFmtId="37" fontId="0" fillId="0" borderId="22" xfId="0" applyNumberFormat="1" applyBorder="1" applyProtection="1"/>
    <xf numFmtId="37" fontId="0" fillId="0" borderId="24" xfId="0" applyBorder="1" applyProtection="1"/>
    <xf numFmtId="37" fontId="0" fillId="0" borderId="25" xfId="0" applyNumberFormat="1" applyBorder="1" applyProtection="1"/>
    <xf numFmtId="37" fontId="0" fillId="0" borderId="23" xfId="0" applyNumberFormat="1" applyBorder="1" applyProtection="1"/>
    <xf numFmtId="37" fontId="8" fillId="0" borderId="0" xfId="0" applyFont="1" applyAlignment="1" applyProtection="1">
      <alignment horizontal="center"/>
    </xf>
    <xf numFmtId="37" fontId="8" fillId="0" borderId="0" xfId="0" applyFont="1" applyAlignment="1" applyProtection="1">
      <alignment horizontal="right"/>
    </xf>
    <xf numFmtId="37" fontId="0" fillId="0" borderId="26" xfId="0" applyBorder="1" applyAlignment="1" applyProtection="1">
      <alignment horizontal="left"/>
    </xf>
    <xf numFmtId="37" fontId="0" fillId="0" borderId="23" xfId="0" applyBorder="1" applyAlignment="1" applyProtection="1">
      <alignment horizontal="left"/>
    </xf>
    <xf numFmtId="37" fontId="13" fillId="0" borderId="0" xfId="0" applyFont="1" applyAlignment="1" applyProtection="1"/>
    <xf numFmtId="37" fontId="4" fillId="0" borderId="15" xfId="0" applyFont="1" applyBorder="1" applyAlignment="1" applyProtection="1">
      <alignment horizontal="center"/>
    </xf>
    <xf numFmtId="37" fontId="4" fillId="0" borderId="18" xfId="0" applyFont="1" applyBorder="1" applyAlignment="1" applyProtection="1">
      <alignment horizontal="center"/>
    </xf>
    <xf numFmtId="37" fontId="4" fillId="0" borderId="16" xfId="0" applyFont="1" applyBorder="1" applyAlignment="1" applyProtection="1">
      <alignment horizontal="center"/>
    </xf>
    <xf numFmtId="37" fontId="4" fillId="0" borderId="18" xfId="0" applyFont="1" applyBorder="1" applyAlignment="1" applyProtection="1">
      <alignment horizontal="left"/>
    </xf>
    <xf numFmtId="37" fontId="4" fillId="0" borderId="18" xfId="0" applyNumberFormat="1" applyFont="1" applyBorder="1" applyProtection="1"/>
    <xf numFmtId="37" fontId="4" fillId="0" borderId="27" xfId="0" applyFont="1" applyBorder="1" applyAlignment="1" applyProtection="1">
      <alignment horizontal="left"/>
    </xf>
    <xf numFmtId="37" fontId="4" fillId="0" borderId="27" xfId="0" applyNumberFormat="1" applyFont="1" applyBorder="1" applyProtection="1"/>
    <xf numFmtId="37" fontId="4" fillId="0" borderId="20" xfId="0" applyFont="1" applyBorder="1" applyAlignment="1" applyProtection="1">
      <alignment horizontal="left"/>
    </xf>
    <xf numFmtId="37" fontId="4" fillId="0" borderId="20" xfId="0" applyNumberFormat="1" applyFont="1" applyBorder="1" applyProtection="1"/>
    <xf numFmtId="37" fontId="4" fillId="0" borderId="28" xfId="0" applyNumberFormat="1" applyFont="1" applyBorder="1" applyProtection="1"/>
    <xf numFmtId="37" fontId="7" fillId="0" borderId="0" xfId="0" applyFont="1" applyAlignment="1" applyProtection="1"/>
    <xf numFmtId="37" fontId="14" fillId="0" borderId="15" xfId="0" applyFont="1" applyBorder="1" applyAlignment="1" applyProtection="1">
      <alignment horizontal="center"/>
    </xf>
    <xf numFmtId="37" fontId="14" fillId="0" borderId="18" xfId="0" applyFont="1" applyBorder="1" applyAlignment="1" applyProtection="1">
      <alignment horizontal="center"/>
    </xf>
    <xf numFmtId="37" fontId="14" fillId="0" borderId="16" xfId="0" applyFont="1" applyBorder="1" applyAlignment="1" applyProtection="1">
      <alignment horizontal="center"/>
    </xf>
    <xf numFmtId="37" fontId="14" fillId="0" borderId="16" xfId="0" applyFont="1" applyBorder="1" applyAlignment="1" applyProtection="1">
      <alignment horizontal="left"/>
    </xf>
    <xf numFmtId="37" fontId="14" fillId="0" borderId="16" xfId="0" applyNumberFormat="1" applyFont="1" applyBorder="1" applyProtection="1"/>
    <xf numFmtId="37" fontId="14" fillId="0" borderId="18" xfId="0" applyFont="1" applyBorder="1" applyAlignment="1" applyProtection="1">
      <alignment horizontal="left"/>
    </xf>
    <xf numFmtId="37" fontId="14" fillId="24" borderId="15" xfId="0" applyNumberFormat="1" applyFont="1" applyFill="1" applyBorder="1" applyProtection="1"/>
    <xf numFmtId="37" fontId="14" fillId="0" borderId="20" xfId="0" applyFont="1" applyBorder="1" applyAlignment="1" applyProtection="1">
      <alignment horizontal="left"/>
    </xf>
    <xf numFmtId="37" fontId="14" fillId="24" borderId="20" xfId="0" applyNumberFormat="1" applyFont="1" applyFill="1" applyBorder="1" applyProtection="1"/>
    <xf numFmtId="37" fontId="14" fillId="0" borderId="18" xfId="0" applyNumberFormat="1" applyFont="1" applyBorder="1" applyProtection="1"/>
    <xf numFmtId="37" fontId="14" fillId="24" borderId="18" xfId="0" applyNumberFormat="1" applyFont="1" applyFill="1" applyBorder="1" applyProtection="1"/>
    <xf numFmtId="37" fontId="14" fillId="24" borderId="16" xfId="0" applyNumberFormat="1" applyFont="1" applyFill="1" applyBorder="1" applyProtection="1"/>
    <xf numFmtId="37" fontId="14" fillId="24" borderId="29" xfId="0" applyNumberFormat="1" applyFont="1" applyFill="1" applyBorder="1" applyProtection="1"/>
    <xf numFmtId="164" fontId="14" fillId="0" borderId="18" xfId="0" applyNumberFormat="1" applyFont="1" applyBorder="1" applyProtection="1"/>
    <xf numFmtId="37" fontId="14" fillId="0" borderId="20" xfId="0" applyNumberFormat="1" applyFont="1" applyBorder="1" applyProtection="1"/>
    <xf numFmtId="37" fontId="14" fillId="0" borderId="17" xfId="0" applyFont="1" applyBorder="1" applyAlignment="1" applyProtection="1">
      <alignment horizontal="center"/>
    </xf>
    <xf numFmtId="37" fontId="14" fillId="0" borderId="30" xfId="0" applyFont="1" applyBorder="1" applyAlignment="1" applyProtection="1">
      <alignment horizontal="center"/>
    </xf>
    <xf numFmtId="37" fontId="0" fillId="0" borderId="23" xfId="0" applyNumberFormat="1" applyBorder="1" applyAlignment="1" applyProtection="1">
      <alignment horizontal="right"/>
    </xf>
    <xf numFmtId="37" fontId="14" fillId="0" borderId="31" xfId="0" applyFont="1" applyBorder="1" applyAlignment="1" applyProtection="1">
      <alignment horizontal="left"/>
    </xf>
    <xf numFmtId="37" fontId="0" fillId="0" borderId="23" xfId="0" applyBorder="1" applyProtection="1"/>
    <xf numFmtId="37" fontId="14" fillId="0" borderId="27" xfId="0" applyFont="1" applyBorder="1" applyAlignment="1" applyProtection="1">
      <alignment horizontal="left"/>
    </xf>
    <xf numFmtId="37" fontId="14" fillId="0" borderId="27" xfId="0" applyNumberFormat="1" applyFont="1" applyBorder="1" applyProtection="1"/>
    <xf numFmtId="37" fontId="14" fillId="0" borderId="32" xfId="0" applyFont="1" applyBorder="1" applyAlignment="1" applyProtection="1">
      <alignment horizontal="left"/>
    </xf>
    <xf numFmtId="37" fontId="14" fillId="0" borderId="32" xfId="0" applyNumberFormat="1" applyFont="1" applyBorder="1" applyProtection="1"/>
    <xf numFmtId="37" fontId="14" fillId="0" borderId="33" xfId="0" applyNumberFormat="1" applyFont="1" applyBorder="1" applyProtection="1"/>
    <xf numFmtId="37" fontId="14" fillId="0" borderId="31" xfId="0" applyNumberFormat="1" applyFont="1" applyBorder="1" applyProtection="1"/>
    <xf numFmtId="37" fontId="14" fillId="0" borderId="12" xfId="0" applyFont="1" applyBorder="1" applyAlignment="1" applyProtection="1">
      <alignment horizontal="center"/>
    </xf>
    <xf numFmtId="165" fontId="0" fillId="0" borderId="24" xfId="0" applyNumberFormat="1" applyBorder="1" applyProtection="1"/>
    <xf numFmtId="166" fontId="0" fillId="0" borderId="23" xfId="0" applyNumberFormat="1" applyBorder="1" applyProtection="1"/>
    <xf numFmtId="166" fontId="3" fillId="0" borderId="23" xfId="0" applyNumberFormat="1" applyFont="1" applyBorder="1" applyProtection="1">
      <protection locked="0"/>
    </xf>
    <xf numFmtId="166" fontId="0" fillId="0" borderId="24" xfId="0" applyNumberFormat="1" applyBorder="1" applyProtection="1"/>
    <xf numFmtId="37" fontId="8" fillId="0" borderId="15" xfId="0" applyFont="1" applyBorder="1" applyAlignment="1" applyProtection="1">
      <alignment horizontal="center"/>
    </xf>
    <xf numFmtId="37" fontId="8" fillId="0" borderId="18" xfId="0" applyFont="1" applyBorder="1" applyAlignment="1" applyProtection="1">
      <alignment horizontal="center"/>
    </xf>
    <xf numFmtId="37" fontId="3" fillId="0" borderId="34" xfId="0" applyNumberFormat="1" applyFont="1" applyBorder="1" applyProtection="1">
      <protection locked="0"/>
    </xf>
    <xf numFmtId="166" fontId="0" fillId="0" borderId="34" xfId="0" applyNumberFormat="1" applyBorder="1" applyProtection="1"/>
    <xf numFmtId="37" fontId="0" fillId="0" borderId="34" xfId="0" applyNumberFormat="1" applyBorder="1" applyProtection="1"/>
    <xf numFmtId="166" fontId="0" fillId="0" borderId="23" xfId="0" applyNumberFormat="1" applyBorder="1" applyAlignment="1" applyProtection="1">
      <alignment horizontal="right"/>
    </xf>
    <xf numFmtId="37" fontId="3" fillId="0" borderId="25" xfId="0" applyNumberFormat="1" applyFont="1" applyBorder="1" applyProtection="1">
      <protection locked="0"/>
    </xf>
    <xf numFmtId="166" fontId="0" fillId="0" borderId="25" xfId="0" applyNumberFormat="1" applyBorder="1" applyProtection="1"/>
    <xf numFmtId="37" fontId="0" fillId="0" borderId="26" xfId="0" applyBorder="1" applyAlignment="1" applyProtection="1">
      <alignment horizontal="center"/>
    </xf>
    <xf numFmtId="37" fontId="0" fillId="0" borderId="13" xfId="0" applyBorder="1" applyAlignment="1" applyProtection="1">
      <alignment horizontal="center"/>
    </xf>
    <xf numFmtId="37" fontId="6" fillId="0" borderId="0" xfId="0" quotePrefix="1" applyFont="1" applyAlignment="1" applyProtection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37" fontId="0" fillId="0" borderId="0" xfId="0" quotePrefix="1" applyAlignment="1" applyProtection="1">
      <alignment horizontal="left"/>
    </xf>
    <xf numFmtId="37" fontId="0" fillId="0" borderId="35" xfId="0" applyBorder="1"/>
    <xf numFmtId="37" fontId="0" fillId="0" borderId="0" xfId="0" quotePrefix="1" applyAlignment="1">
      <alignment horizontal="left"/>
    </xf>
    <xf numFmtId="37" fontId="0" fillId="0" borderId="36" xfId="0" applyNumberFormat="1" applyBorder="1" applyProtection="1"/>
    <xf numFmtId="37" fontId="8" fillId="0" borderId="0" xfId="0" quotePrefix="1" applyFont="1" applyAlignment="1" applyProtection="1">
      <alignment horizontal="left"/>
    </xf>
    <xf numFmtId="37" fontId="9" fillId="0" borderId="0" xfId="0" quotePrefix="1" applyFont="1" applyAlignment="1" applyProtection="1">
      <alignment horizontal="left"/>
    </xf>
    <xf numFmtId="37" fontId="0" fillId="0" borderId="23" xfId="0" quotePrefix="1" applyBorder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6" fillId="0" borderId="0" xfId="0" quotePrefix="1" applyFont="1" applyAlignment="1">
      <alignment horizontal="left"/>
    </xf>
    <xf numFmtId="37" fontId="6" fillId="0" borderId="0" xfId="0" applyFont="1" applyAlignment="1">
      <alignment horizontal="left"/>
    </xf>
    <xf numFmtId="37" fontId="14" fillId="0" borderId="18" xfId="0" quotePrefix="1" applyFont="1" applyBorder="1" applyAlignment="1" applyProtection="1">
      <alignment horizontal="center"/>
    </xf>
    <xf numFmtId="37" fontId="15" fillId="0" borderId="0" xfId="0" applyFont="1" applyAlignment="1">
      <alignment horizontal="right"/>
    </xf>
    <xf numFmtId="37" fontId="16" fillId="0" borderId="23" xfId="0" applyNumberFormat="1" applyFont="1" applyBorder="1" applyProtection="1"/>
    <xf numFmtId="37" fontId="16" fillId="0" borderId="23" xfId="0" applyFont="1" applyBorder="1" applyProtection="1"/>
    <xf numFmtId="37" fontId="8" fillId="0" borderId="35" xfId="0" applyFont="1" applyBorder="1"/>
    <xf numFmtId="37" fontId="0" fillId="0" borderId="0" xfId="0" applyBorder="1"/>
    <xf numFmtId="37" fontId="0" fillId="0" borderId="37" xfId="0" applyNumberFormat="1" applyBorder="1" applyProtection="1"/>
    <xf numFmtId="37" fontId="18" fillId="0" borderId="0" xfId="0" quotePrefix="1" applyFont="1" applyAlignment="1" applyProtection="1">
      <alignment horizontal="left"/>
    </xf>
    <xf numFmtId="37" fontId="11" fillId="0" borderId="0" xfId="0" applyFont="1" applyProtection="1"/>
    <xf numFmtId="37" fontId="14" fillId="0" borderId="15" xfId="0" applyFont="1" applyBorder="1" applyAlignment="1">
      <alignment horizontal="center"/>
    </xf>
    <xf numFmtId="37" fontId="17" fillId="0" borderId="0" xfId="0" applyNumberFormat="1" applyFont="1" applyProtection="1"/>
    <xf numFmtId="37" fontId="0" fillId="0" borderId="35" xfId="0" applyBorder="1" applyProtection="1"/>
    <xf numFmtId="164" fontId="14" fillId="0" borderId="20" xfId="0" applyNumberFormat="1" applyFont="1" applyBorder="1" applyProtection="1"/>
    <xf numFmtId="37" fontId="8" fillId="0" borderId="0" xfId="0" applyFont="1" applyBorder="1"/>
    <xf numFmtId="37" fontId="8" fillId="0" borderId="19" xfId="0" applyFont="1" applyBorder="1" applyAlignment="1" applyProtection="1">
      <alignment horizontal="center"/>
    </xf>
    <xf numFmtId="37" fontId="17" fillId="0" borderId="23" xfId="0" applyNumberFormat="1" applyFont="1" applyBorder="1" applyProtection="1"/>
    <xf numFmtId="49" fontId="9" fillId="0" borderId="0" xfId="0" applyNumberFormat="1" applyFont="1" applyAlignment="1" applyProtection="1">
      <alignment horizontal="left"/>
    </xf>
    <xf numFmtId="49" fontId="0" fillId="0" borderId="0" xfId="0" applyNumberFormat="1"/>
    <xf numFmtId="49" fontId="8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37" fontId="15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</xf>
    <xf numFmtId="49" fontId="0" fillId="0" borderId="0" xfId="0" quotePrefix="1" applyNumberFormat="1" applyAlignment="1">
      <alignment horizontal="left"/>
    </xf>
    <xf numFmtId="37" fontId="20" fillId="0" borderId="35" xfId="0" applyFont="1" applyBorder="1" applyAlignment="1">
      <alignment horizontal="center"/>
    </xf>
    <xf numFmtId="37" fontId="21" fillId="0" borderId="35" xfId="0" applyFont="1" applyBorder="1"/>
    <xf numFmtId="37" fontId="3" fillId="0" borderId="38" xfId="0" applyNumberFormat="1" applyFont="1" applyBorder="1" applyProtection="1">
      <protection locked="0"/>
    </xf>
    <xf numFmtId="37" fontId="3" fillId="0" borderId="39" xfId="0" applyNumberFormat="1" applyFont="1" applyBorder="1" applyProtection="1">
      <protection locked="0"/>
    </xf>
    <xf numFmtId="37" fontId="15" fillId="0" borderId="0" xfId="0" applyNumberFormat="1" applyFont="1" applyBorder="1" applyAlignment="1" applyProtection="1">
      <alignment horizontal="center"/>
      <protection locked="0"/>
    </xf>
    <xf numFmtId="37" fontId="15" fillId="0" borderId="0" xfId="0" quotePrefix="1" applyNumberFormat="1" applyFont="1" applyBorder="1" applyAlignment="1" applyProtection="1">
      <alignment horizontal="center"/>
      <protection locked="0"/>
    </xf>
    <xf numFmtId="37" fontId="3" fillId="0" borderId="35" xfId="0" applyNumberFormat="1" applyFont="1" applyBorder="1" applyProtection="1">
      <protection locked="0"/>
    </xf>
    <xf numFmtId="37" fontId="8" fillId="0" borderId="0" xfId="0" applyFont="1" applyAlignment="1"/>
    <xf numFmtId="1" fontId="8" fillId="0" borderId="0" xfId="0" applyNumberFormat="1" applyFont="1" applyAlignment="1">
      <alignment horizontal="left"/>
    </xf>
    <xf numFmtId="37" fontId="3" fillId="0" borderId="15" xfId="0" applyNumberFormat="1" applyFont="1" applyBorder="1" applyProtection="1">
      <protection locked="0"/>
    </xf>
    <xf numFmtId="37" fontId="15" fillId="0" borderId="24" xfId="0" applyNumberFormat="1" applyFont="1" applyBorder="1" applyProtection="1">
      <protection locked="0"/>
    </xf>
    <xf numFmtId="37" fontId="15" fillId="0" borderId="0" xfId="0" quotePrefix="1" applyFont="1" applyAlignment="1" applyProtection="1">
      <alignment horizontal="left"/>
    </xf>
    <xf numFmtId="37" fontId="10" fillId="0" borderId="0" xfId="0" applyFont="1" applyAlignment="1" applyProtection="1">
      <alignment horizontal="left" wrapText="1"/>
    </xf>
    <xf numFmtId="1" fontId="15" fillId="0" borderId="0" xfId="0" quotePrefix="1" applyNumberFormat="1" applyFont="1" applyAlignment="1">
      <alignment horizontal="left"/>
    </xf>
    <xf numFmtId="37" fontId="10" fillId="0" borderId="0" xfId="0" applyFont="1"/>
    <xf numFmtId="37" fontId="15" fillId="0" borderId="40" xfId="0" applyNumberFormat="1" applyFont="1" applyBorder="1" applyProtection="1">
      <protection locked="0"/>
    </xf>
    <xf numFmtId="37" fontId="3" fillId="0" borderId="40" xfId="0" applyNumberFormat="1" applyFont="1" applyBorder="1" applyProtection="1">
      <protection locked="0"/>
    </xf>
    <xf numFmtId="37" fontId="15" fillId="0" borderId="0" xfId="0" applyFont="1"/>
    <xf numFmtId="37" fontId="15" fillId="0" borderId="0" xfId="0" applyNumberFormat="1" applyFont="1" applyProtection="1"/>
    <xf numFmtId="37" fontId="15" fillId="0" borderId="0" xfId="0" quotePrefix="1" applyFont="1"/>
    <xf numFmtId="37" fontId="3" fillId="0" borderId="41" xfId="0" applyNumberFormat="1" applyFont="1" applyBorder="1" applyProtection="1">
      <protection locked="0"/>
    </xf>
    <xf numFmtId="49" fontId="15" fillId="0" borderId="0" xfId="0" applyNumberFormat="1" applyFont="1" applyAlignment="1" applyProtection="1">
      <alignment horizontal="left"/>
    </xf>
    <xf numFmtId="37" fontId="15" fillId="0" borderId="0" xfId="0" applyFont="1" applyAlignment="1">
      <alignment horizontal="left"/>
    </xf>
    <xf numFmtId="1" fontId="15" fillId="0" borderId="0" xfId="0" applyNumberFormat="1" applyFont="1" applyAlignment="1">
      <alignment horizontal="left"/>
    </xf>
    <xf numFmtId="37" fontId="15" fillId="0" borderId="0" xfId="0" quotePrefix="1" applyFont="1" applyAlignment="1">
      <alignment horizontal="right"/>
    </xf>
    <xf numFmtId="37" fontId="15" fillId="0" borderId="0" xfId="0" applyFont="1" applyAlignment="1">
      <alignment horizontal="center" wrapText="1"/>
    </xf>
    <xf numFmtId="37" fontId="15" fillId="0" borderId="0" xfId="0" applyFont="1" applyProtection="1"/>
    <xf numFmtId="49" fontId="15" fillId="0" borderId="0" xfId="0" quotePrefix="1" applyNumberFormat="1" applyFont="1" applyAlignment="1" applyProtection="1">
      <alignment horizontal="left"/>
    </xf>
    <xf numFmtId="37" fontId="15" fillId="0" borderId="24" xfId="0" applyNumberFormat="1" applyFont="1" applyBorder="1" applyProtection="1"/>
    <xf numFmtId="37" fontId="15" fillId="0" borderId="0" xfId="0" applyNumberFormat="1" applyFont="1" applyBorder="1" applyProtection="1"/>
    <xf numFmtId="37" fontId="15" fillId="0" borderId="22" xfId="0" applyNumberFormat="1" applyFont="1" applyBorder="1" applyProtection="1"/>
    <xf numFmtId="37" fontId="15" fillId="0" borderId="0" xfId="0" applyFont="1" applyFill="1" applyBorder="1" applyAlignment="1" applyProtection="1">
      <alignment horizontal="left"/>
    </xf>
    <xf numFmtId="37" fontId="15" fillId="0" borderId="40" xfId="0" applyNumberFormat="1" applyFont="1" applyBorder="1" applyProtection="1"/>
    <xf numFmtId="37" fontId="15" fillId="0" borderId="0" xfId="0" quotePrefix="1" applyFont="1" applyProtection="1"/>
    <xf numFmtId="37" fontId="15" fillId="0" borderId="0" xfId="0" applyFont="1" applyAlignment="1">
      <alignment vertical="top" wrapText="1"/>
    </xf>
    <xf numFmtId="37" fontId="15" fillId="0" borderId="0" xfId="0" applyFont="1" applyAlignment="1">
      <alignment wrapText="1"/>
    </xf>
    <xf numFmtId="37" fontId="15" fillId="0" borderId="0" xfId="0" applyNumberFormat="1" applyFont="1" applyAlignment="1" applyProtection="1">
      <alignment horizontal="left"/>
    </xf>
    <xf numFmtId="37" fontId="15" fillId="0" borderId="0" xfId="0" applyFont="1" applyBorder="1"/>
    <xf numFmtId="37" fontId="15" fillId="0" borderId="0" xfId="0" applyFont="1" applyBorder="1" applyProtection="1"/>
    <xf numFmtId="37" fontId="15" fillId="0" borderId="40" xfId="0" applyFont="1" applyBorder="1"/>
    <xf numFmtId="37" fontId="15" fillId="0" borderId="0" xfId="0" applyFont="1" applyAlignment="1">
      <alignment horizontal="center"/>
    </xf>
    <xf numFmtId="37" fontId="15" fillId="0" borderId="0" xfId="0" applyFont="1" applyAlignment="1"/>
    <xf numFmtId="49" fontId="15" fillId="0" borderId="0" xfId="0" applyNumberFormat="1" applyFont="1"/>
    <xf numFmtId="49" fontId="15" fillId="0" borderId="0" xfId="0" quotePrefix="1" applyNumberFormat="1" applyFont="1"/>
    <xf numFmtId="37" fontId="10" fillId="0" borderId="0" xfId="0" applyFont="1" applyAlignment="1"/>
    <xf numFmtId="49" fontId="0" fillId="0" borderId="0" xfId="0" quotePrefix="1" applyNumberFormat="1" applyAlignment="1" applyProtection="1">
      <alignment horizontal="left"/>
    </xf>
    <xf numFmtId="49" fontId="0" fillId="0" borderId="0" xfId="0" quotePrefix="1" applyNumberFormat="1"/>
    <xf numFmtId="37" fontId="0" fillId="0" borderId="0" xfId="0" quotePrefix="1"/>
    <xf numFmtId="37" fontId="0" fillId="0" borderId="0" xfId="0" applyBorder="1" applyAlignment="1" applyProtection="1">
      <alignment horizontal="center"/>
    </xf>
    <xf numFmtId="37" fontId="0" fillId="0" borderId="0" xfId="0" applyBorder="1" applyAlignment="1">
      <alignment horizontal="center"/>
    </xf>
    <xf numFmtId="37" fontId="3" fillId="0" borderId="0" xfId="0" applyFont="1" applyBorder="1" applyAlignment="1" applyProtection="1">
      <alignment horizontal="left"/>
      <protection locked="0"/>
    </xf>
    <xf numFmtId="37" fontId="15" fillId="0" borderId="42" xfId="0" applyNumberFormat="1" applyFont="1" applyBorder="1" applyProtection="1"/>
    <xf numFmtId="37" fontId="0" fillId="0" borderId="40" xfId="0" applyBorder="1"/>
    <xf numFmtId="37" fontId="15" fillId="0" borderId="0" xfId="0" applyFont="1" applyBorder="1" applyAlignment="1" applyProtection="1">
      <alignment horizontal="left"/>
    </xf>
    <xf numFmtId="37" fontId="8" fillId="0" borderId="43" xfId="0" applyFont="1" applyBorder="1" applyAlignment="1" applyProtection="1">
      <alignment horizontal="left"/>
    </xf>
    <xf numFmtId="37" fontId="8" fillId="0" borderId="0" xfId="0" applyFont="1" applyBorder="1" applyAlignment="1" applyProtection="1">
      <alignment horizontal="left" wrapText="1"/>
    </xf>
    <xf numFmtId="37" fontId="15" fillId="0" borderId="0" xfId="0" applyFont="1" applyAlignment="1" applyProtection="1">
      <alignment horizontal="left" wrapText="1"/>
    </xf>
    <xf numFmtId="37" fontId="15" fillId="0" borderId="0" xfId="0" applyNumberFormat="1" applyFont="1" applyBorder="1" applyProtection="1">
      <protection locked="0"/>
    </xf>
    <xf numFmtId="37" fontId="3" fillId="0" borderId="44" xfId="0" applyNumberFormat="1" applyFont="1" applyBorder="1" applyProtection="1">
      <protection locked="0"/>
    </xf>
    <xf numFmtId="37" fontId="22" fillId="0" borderId="0" xfId="0" applyNumberFormat="1" applyFont="1" applyProtection="1"/>
    <xf numFmtId="37" fontId="21" fillId="0" borderId="0" xfId="0" applyFont="1"/>
    <xf numFmtId="37" fontId="12" fillId="0" borderId="0" xfId="0" applyFont="1" applyBorder="1" applyAlignment="1" applyProtection="1">
      <alignment horizontal="left"/>
    </xf>
    <xf numFmtId="37" fontId="8" fillId="0" borderId="0" xfId="0" applyFont="1" applyBorder="1" applyAlignment="1" applyProtection="1">
      <alignment horizontal="left"/>
    </xf>
    <xf numFmtId="37" fontId="8" fillId="0" borderId="0" xfId="0" quotePrefix="1" applyFont="1"/>
    <xf numFmtId="37" fontId="15" fillId="0" borderId="0" xfId="0" quotePrefix="1" applyFont="1" applyAlignment="1" applyProtection="1">
      <alignment vertical="top"/>
    </xf>
    <xf numFmtId="37" fontId="12" fillId="0" borderId="0" xfId="0" applyFont="1" applyAlignment="1" applyProtection="1">
      <alignment horizontal="right"/>
    </xf>
    <xf numFmtId="37" fontId="6" fillId="0" borderId="0" xfId="0" applyFont="1" applyAlignment="1" applyProtection="1">
      <alignment horizontal="left"/>
    </xf>
    <xf numFmtId="37" fontId="3" fillId="0" borderId="0" xfId="0" applyFont="1"/>
    <xf numFmtId="37" fontId="24" fillId="0" borderId="0" xfId="0" applyFont="1" applyAlignment="1" applyProtection="1">
      <alignment horizontal="center"/>
    </xf>
    <xf numFmtId="37" fontId="9" fillId="0" borderId="0" xfId="0" applyFont="1" applyAlignment="1" applyProtection="1">
      <alignment horizontal="center"/>
    </xf>
    <xf numFmtId="37" fontId="0" fillId="0" borderId="0" xfId="0" quotePrefix="1" applyProtection="1"/>
    <xf numFmtId="37" fontId="15" fillId="0" borderId="45" xfId="0" applyNumberFormat="1" applyFont="1" applyBorder="1" applyProtection="1"/>
    <xf numFmtId="37" fontId="0" fillId="0" borderId="0" xfId="0" quotePrefix="1" applyAlignment="1" applyProtection="1"/>
    <xf numFmtId="37" fontId="0" fillId="0" borderId="0" xfId="0" applyAlignment="1" applyProtection="1"/>
    <xf numFmtId="37" fontId="14" fillId="0" borderId="29" xfId="0" applyNumberFormat="1" applyFont="1" applyFill="1" applyBorder="1" applyProtection="1"/>
    <xf numFmtId="37" fontId="14" fillId="0" borderId="23" xfId="0" applyFont="1" applyBorder="1" applyAlignment="1" applyProtection="1">
      <alignment horizontal="left"/>
    </xf>
    <xf numFmtId="37" fontId="14" fillId="0" borderId="23" xfId="0" applyNumberFormat="1" applyFont="1" applyBorder="1" applyProtection="1"/>
    <xf numFmtId="37" fontId="14" fillId="0" borderId="18" xfId="0" applyFont="1" applyFill="1" applyBorder="1" applyAlignment="1" applyProtection="1">
      <alignment horizontal="left"/>
    </xf>
    <xf numFmtId="37" fontId="14" fillId="0" borderId="30" xfId="0" applyNumberFormat="1" applyFont="1" applyFill="1" applyBorder="1" applyProtection="1"/>
    <xf numFmtId="37" fontId="14" fillId="0" borderId="15" xfId="0" applyFont="1" applyBorder="1" applyAlignment="1" applyProtection="1">
      <alignment horizontal="left"/>
    </xf>
    <xf numFmtId="37" fontId="14" fillId="0" borderId="17" xfId="0" applyNumberFormat="1" applyFont="1" applyFill="1" applyBorder="1" applyProtection="1"/>
    <xf numFmtId="37" fontId="14" fillId="0" borderId="32" xfId="0" applyNumberFormat="1" applyFont="1" applyBorder="1" applyAlignment="1" applyProtection="1">
      <alignment horizontal="center"/>
    </xf>
    <xf numFmtId="37" fontId="14" fillId="0" borderId="23" xfId="0" applyNumberFormat="1" applyFont="1" applyFill="1" applyBorder="1" applyProtection="1"/>
    <xf numFmtId="37" fontId="14" fillId="0" borderId="31" xfId="0" applyNumberFormat="1" applyFont="1" applyFill="1" applyBorder="1" applyProtection="1"/>
    <xf numFmtId="37" fontId="14" fillId="0" borderId="46" xfId="0" applyNumberFormat="1" applyFont="1" applyFill="1" applyBorder="1" applyProtection="1"/>
    <xf numFmtId="37" fontId="0" fillId="0" borderId="0" xfId="0" applyFill="1" applyBorder="1" applyProtection="1"/>
    <xf numFmtId="37" fontId="29" fillId="0" borderId="0" xfId="0" applyFont="1" applyProtection="1">
      <protection locked="0"/>
    </xf>
    <xf numFmtId="37" fontId="34" fillId="0" borderId="0" xfId="0" applyFont="1" applyProtection="1">
      <protection locked="0"/>
    </xf>
    <xf numFmtId="37" fontId="34" fillId="0" borderId="0" xfId="0" applyFont="1" applyBorder="1" applyProtection="1">
      <protection locked="0"/>
    </xf>
    <xf numFmtId="37" fontId="29" fillId="0" borderId="47" xfId="0" applyFont="1" applyBorder="1" applyProtection="1">
      <protection locked="0"/>
    </xf>
    <xf numFmtId="37" fontId="29" fillId="0" borderId="47" xfId="0" applyFont="1" applyBorder="1" applyAlignment="1" applyProtection="1">
      <alignment horizontal="right"/>
      <protection locked="0"/>
    </xf>
    <xf numFmtId="37" fontId="29" fillId="0" borderId="48" xfId="0" applyFont="1" applyBorder="1" applyProtection="1">
      <protection locked="0"/>
    </xf>
    <xf numFmtId="1" fontId="29" fillId="0" borderId="47" xfId="0" applyNumberFormat="1" applyFont="1" applyBorder="1" applyProtection="1">
      <protection locked="0"/>
    </xf>
    <xf numFmtId="37" fontId="29" fillId="0" borderId="23" xfId="0" applyFont="1" applyBorder="1" applyProtection="1">
      <protection locked="0"/>
    </xf>
    <xf numFmtId="37" fontId="21" fillId="0" borderId="0" xfId="0" applyFont="1" applyAlignment="1" applyProtection="1">
      <alignment horizontal="left"/>
    </xf>
    <xf numFmtId="37" fontId="40" fillId="0" borderId="0" xfId="0" applyFont="1"/>
    <xf numFmtId="37" fontId="35" fillId="0" borderId="49" xfId="0" applyFont="1" applyBorder="1" applyAlignment="1">
      <alignment wrapText="1"/>
    </xf>
    <xf numFmtId="37" fontId="35" fillId="0" borderId="50" xfId="0" applyFont="1" applyBorder="1" applyAlignment="1">
      <alignment horizontal="right" wrapText="1"/>
    </xf>
    <xf numFmtId="37" fontId="35" fillId="25" borderId="51" xfId="0" applyFont="1" applyFill="1" applyBorder="1" applyAlignment="1">
      <alignment horizontal="center" wrapText="1"/>
    </xf>
    <xf numFmtId="37" fontId="35" fillId="0" borderId="52" xfId="0" applyFont="1" applyBorder="1" applyAlignment="1">
      <alignment horizontal="center" wrapText="1"/>
    </xf>
    <xf numFmtId="37" fontId="35" fillId="0" borderId="53" xfId="0" applyFont="1" applyBorder="1" applyAlignment="1">
      <alignment horizontal="center" wrapText="1"/>
    </xf>
    <xf numFmtId="37" fontId="35" fillId="25" borderId="43" xfId="0" applyFont="1" applyFill="1" applyBorder="1" applyAlignment="1">
      <alignment horizontal="center" wrapText="1"/>
    </xf>
    <xf numFmtId="37" fontId="35" fillId="25" borderId="54" xfId="0" applyFont="1" applyFill="1" applyBorder="1" applyAlignment="1">
      <alignment horizontal="center" wrapText="1"/>
    </xf>
    <xf numFmtId="37" fontId="35" fillId="25" borderId="55" xfId="0" applyFont="1" applyFill="1" applyBorder="1" applyAlignment="1">
      <alignment horizontal="center" wrapText="1"/>
    </xf>
    <xf numFmtId="37" fontId="35" fillId="0" borderId="0" xfId="0" applyFont="1" applyAlignment="1">
      <alignment wrapText="1"/>
    </xf>
    <xf numFmtId="37" fontId="35" fillId="0" borderId="0" xfId="0" applyFont="1" applyBorder="1" applyAlignment="1">
      <alignment wrapText="1"/>
    </xf>
    <xf numFmtId="37" fontId="35" fillId="0" borderId="56" xfId="0" applyFont="1" applyBorder="1" applyAlignment="1">
      <alignment wrapText="1"/>
    </xf>
    <xf numFmtId="37" fontId="35" fillId="25" borderId="0" xfId="0" applyFont="1" applyFill="1" applyBorder="1" applyAlignment="1">
      <alignment horizontal="center" wrapText="1"/>
    </xf>
    <xf numFmtId="37" fontId="35" fillId="0" borderId="56" xfId="0" applyFont="1" applyBorder="1" applyAlignment="1">
      <alignment horizontal="center" wrapText="1"/>
    </xf>
    <xf numFmtId="37" fontId="35" fillId="25" borderId="57" xfId="0" applyFont="1" applyFill="1" applyBorder="1" applyAlignment="1">
      <alignment horizontal="center" wrapText="1"/>
    </xf>
    <xf numFmtId="37" fontId="15" fillId="0" borderId="0" xfId="0" applyNumberFormat="1" applyFont="1" applyAlignment="1" applyProtection="1">
      <alignment horizontal="center" wrapText="1"/>
    </xf>
    <xf numFmtId="37" fontId="35" fillId="25" borderId="49" xfId="0" applyFont="1" applyFill="1" applyBorder="1" applyAlignment="1">
      <alignment horizontal="center" wrapText="1"/>
    </xf>
    <xf numFmtId="37" fontId="35" fillId="25" borderId="58" xfId="0" applyFont="1" applyFill="1" applyBorder="1" applyAlignment="1">
      <alignment wrapText="1"/>
    </xf>
    <xf numFmtId="37" fontId="35" fillId="25" borderId="59" xfId="0" applyFont="1" applyFill="1" applyBorder="1" applyAlignment="1">
      <alignment horizontal="right" wrapText="1"/>
    </xf>
    <xf numFmtId="37" fontId="35" fillId="25" borderId="0" xfId="0" applyFont="1" applyFill="1" applyAlignment="1">
      <alignment wrapText="1"/>
    </xf>
    <xf numFmtId="37" fontId="35" fillId="25" borderId="0" xfId="0" applyFont="1" applyFill="1" applyBorder="1" applyAlignment="1">
      <alignment wrapText="1"/>
    </xf>
    <xf numFmtId="37" fontId="35" fillId="25" borderId="0" xfId="0" applyFont="1" applyFill="1" applyBorder="1" applyAlignment="1">
      <alignment horizontal="right" wrapText="1"/>
    </xf>
    <xf numFmtId="37" fontId="35" fillId="0" borderId="0" xfId="0" applyFont="1" applyFill="1" applyBorder="1" applyAlignment="1">
      <alignment wrapText="1"/>
    </xf>
    <xf numFmtId="37" fontId="35" fillId="0" borderId="60" xfId="0" applyFont="1" applyFill="1" applyBorder="1" applyAlignment="1">
      <alignment horizontal="right" wrapText="1"/>
    </xf>
    <xf numFmtId="37" fontId="35" fillId="0" borderId="0" xfId="0" applyFont="1" applyFill="1" applyBorder="1" applyAlignment="1">
      <alignment horizontal="center" wrapText="1"/>
    </xf>
    <xf numFmtId="37" fontId="35" fillId="0" borderId="0" xfId="0" applyFont="1" applyFill="1" applyAlignment="1">
      <alignment wrapText="1"/>
    </xf>
    <xf numFmtId="37" fontId="35" fillId="0" borderId="60" xfId="0" applyFont="1" applyBorder="1" applyAlignment="1">
      <alignment horizontal="right" wrapText="1"/>
    </xf>
    <xf numFmtId="40" fontId="41" fillId="25" borderId="58" xfId="0" applyNumberFormat="1" applyFont="1" applyFill="1" applyBorder="1"/>
    <xf numFmtId="40" fontId="41" fillId="0" borderId="0" xfId="0" applyNumberFormat="1" applyFont="1" applyBorder="1"/>
    <xf numFmtId="40" fontId="41" fillId="25" borderId="0" xfId="0" applyNumberFormat="1" applyFont="1" applyFill="1" applyBorder="1"/>
    <xf numFmtId="40" fontId="41" fillId="25" borderId="51" xfId="0" applyNumberFormat="1" applyFont="1" applyFill="1" applyBorder="1"/>
    <xf numFmtId="37" fontId="36" fillId="0" borderId="0" xfId="0" applyFont="1" applyBorder="1" applyAlignment="1">
      <alignment wrapText="1"/>
    </xf>
    <xf numFmtId="40" fontId="41" fillId="25" borderId="0" xfId="0" applyNumberFormat="1" applyFont="1" applyFill="1"/>
    <xf numFmtId="37" fontId="41" fillId="0" borderId="0" xfId="0" applyFont="1"/>
    <xf numFmtId="37" fontId="41" fillId="0" borderId="0" xfId="0" applyFont="1" applyBorder="1"/>
    <xf numFmtId="37" fontId="35" fillId="26" borderId="61" xfId="0" applyFont="1" applyFill="1" applyBorder="1" applyAlignment="1">
      <alignment wrapText="1"/>
    </xf>
    <xf numFmtId="37" fontId="35" fillId="26" borderId="62" xfId="0" applyFont="1" applyFill="1" applyBorder="1" applyAlignment="1">
      <alignment horizontal="right" wrapText="1"/>
    </xf>
    <xf numFmtId="40" fontId="41" fillId="25" borderId="61" xfId="0" applyNumberFormat="1" applyFont="1" applyFill="1" applyBorder="1"/>
    <xf numFmtId="40" fontId="41" fillId="26" borderId="62" xfId="0" applyNumberFormat="1" applyFont="1" applyFill="1" applyBorder="1"/>
    <xf numFmtId="40" fontId="41" fillId="25" borderId="62" xfId="0" applyNumberFormat="1" applyFont="1" applyFill="1" applyBorder="1"/>
    <xf numFmtId="37" fontId="41" fillId="0" borderId="62" xfId="0" applyFont="1" applyBorder="1"/>
    <xf numFmtId="40" fontId="41" fillId="25" borderId="43" xfId="0" applyNumberFormat="1" applyFont="1" applyFill="1" applyBorder="1"/>
    <xf numFmtId="40" fontId="41" fillId="25" borderId="63" xfId="0" applyNumberFormat="1" applyFont="1" applyFill="1" applyBorder="1"/>
    <xf numFmtId="37" fontId="35" fillId="26" borderId="64" xfId="0" applyFont="1" applyFill="1" applyBorder="1" applyAlignment="1">
      <alignment horizontal="right" wrapText="1"/>
    </xf>
    <xf numFmtId="3" fontId="35" fillId="0" borderId="60" xfId="0" applyNumberFormat="1" applyFont="1" applyBorder="1" applyAlignment="1">
      <alignment horizontal="right" wrapText="1"/>
    </xf>
    <xf numFmtId="40" fontId="41" fillId="0" borderId="0" xfId="0" applyNumberFormat="1" applyFont="1" applyFill="1" applyBorder="1"/>
    <xf numFmtId="37" fontId="41" fillId="0" borderId="0" xfId="0" applyFont="1" applyFill="1" applyBorder="1"/>
    <xf numFmtId="49" fontId="35" fillId="0" borderId="60" xfId="0" applyNumberFormat="1" applyFont="1" applyBorder="1" applyAlignment="1">
      <alignment horizontal="right" wrapText="1"/>
    </xf>
    <xf numFmtId="40" fontId="41" fillId="25" borderId="65" xfId="0" applyNumberFormat="1" applyFont="1" applyFill="1" applyBorder="1"/>
    <xf numFmtId="37" fontId="41" fillId="0" borderId="0" xfId="0" applyFont="1" applyFill="1"/>
    <xf numFmtId="37" fontId="41" fillId="0" borderId="62" xfId="0" applyFont="1" applyFill="1" applyBorder="1"/>
    <xf numFmtId="40" fontId="40" fillId="0" borderId="0" xfId="0" applyNumberFormat="1" applyFont="1" applyFill="1" applyBorder="1"/>
    <xf numFmtId="37" fontId="40" fillId="0" borderId="0" xfId="0" applyFont="1" applyFill="1" applyBorder="1"/>
    <xf numFmtId="37" fontId="0" fillId="0" borderId="0" xfId="0" applyFill="1"/>
    <xf numFmtId="37" fontId="0" fillId="0" borderId="0" xfId="0" applyFill="1" applyBorder="1"/>
    <xf numFmtId="37" fontId="3" fillId="0" borderId="66" xfId="0" applyNumberFormat="1" applyFont="1" applyBorder="1" applyProtection="1">
      <protection locked="0"/>
    </xf>
    <xf numFmtId="37" fontId="3" fillId="0" borderId="67" xfId="0" applyNumberFormat="1" applyFont="1" applyBorder="1" applyProtection="1">
      <protection locked="0"/>
    </xf>
    <xf numFmtId="37" fontId="35" fillId="27" borderId="53" xfId="0" applyFont="1" applyFill="1" applyBorder="1" applyAlignment="1">
      <alignment horizontal="center" wrapText="1"/>
    </xf>
    <xf numFmtId="40" fontId="43" fillId="0" borderId="0" xfId="0" applyNumberFormat="1" applyFont="1" applyBorder="1"/>
    <xf numFmtId="40" fontId="43" fillId="27" borderId="0" xfId="0" applyNumberFormat="1" applyFont="1" applyFill="1" applyBorder="1"/>
    <xf numFmtId="49" fontId="0" fillId="0" borderId="0" xfId="0" quotePrefix="1" applyNumberFormat="1" applyAlignment="1" applyProtection="1"/>
    <xf numFmtId="49" fontId="0" fillId="0" borderId="0" xfId="0" applyNumberFormat="1" applyAlignment="1" applyProtection="1"/>
    <xf numFmtId="37" fontId="35" fillId="27" borderId="0" xfId="0" applyFont="1" applyFill="1" applyBorder="1" applyAlignment="1">
      <alignment horizontal="center" wrapText="1"/>
    </xf>
    <xf numFmtId="40" fontId="26" fillId="27" borderId="0" xfId="0" applyNumberFormat="1" applyFont="1" applyFill="1" applyBorder="1"/>
    <xf numFmtId="37" fontId="3" fillId="0" borderId="22" xfId="0" applyNumberFormat="1" applyFont="1" applyFill="1" applyBorder="1" applyProtection="1">
      <protection locked="0"/>
    </xf>
    <xf numFmtId="37" fontId="35" fillId="27" borderId="52" xfId="0" applyFont="1" applyFill="1" applyBorder="1" applyAlignment="1">
      <alignment horizontal="center" wrapText="1"/>
    </xf>
    <xf numFmtId="37" fontId="19" fillId="0" borderId="23" xfId="34" applyNumberFormat="1" applyBorder="1" applyAlignment="1" applyProtection="1">
      <protection locked="0"/>
    </xf>
    <xf numFmtId="49" fontId="35" fillId="0" borderId="68" xfId="0" applyNumberFormat="1" applyFont="1" applyBorder="1" applyAlignment="1">
      <alignment horizontal="right" wrapText="1"/>
    </xf>
    <xf numFmtId="37" fontId="15" fillId="0" borderId="24" xfId="0" applyNumberFormat="1" applyFont="1" applyFill="1" applyBorder="1" applyProtection="1"/>
    <xf numFmtId="37" fontId="15" fillId="0" borderId="0" xfId="0" applyNumberFormat="1" applyFont="1" applyFill="1" applyBorder="1" applyProtection="1"/>
    <xf numFmtId="37" fontId="15" fillId="0" borderId="0" xfId="0" applyNumberFormat="1" applyFont="1" applyFill="1" applyProtection="1"/>
    <xf numFmtId="37" fontId="3" fillId="0" borderId="23" xfId="0" applyNumberFormat="1" applyFont="1" applyFill="1" applyBorder="1" applyProtection="1">
      <protection locked="0"/>
    </xf>
    <xf numFmtId="37" fontId="3" fillId="0" borderId="0" xfId="0" applyNumberFormat="1" applyFont="1" applyFill="1" applyBorder="1" applyProtection="1">
      <protection locked="0"/>
    </xf>
    <xf numFmtId="37" fontId="15" fillId="0" borderId="0" xfId="0" applyFont="1" applyFill="1"/>
    <xf numFmtId="37" fontId="15" fillId="0" borderId="0" xfId="0" applyFont="1" applyFill="1" applyAlignment="1"/>
    <xf numFmtId="37" fontId="15" fillId="0" borderId="0" xfId="0" quotePrefix="1" applyFont="1" applyFill="1" applyAlignment="1" applyProtection="1">
      <alignment horizontal="left"/>
    </xf>
    <xf numFmtId="37" fontId="15" fillId="0" borderId="0" xfId="0" applyFont="1" applyFill="1" applyAlignment="1" applyProtection="1">
      <alignment horizontal="left"/>
    </xf>
    <xf numFmtId="37" fontId="15" fillId="0" borderId="0" xfId="0" applyFont="1" applyFill="1" applyAlignment="1">
      <alignment horizontal="right"/>
    </xf>
    <xf numFmtId="37" fontId="15" fillId="0" borderId="0" xfId="0" applyNumberFormat="1" applyFont="1" applyFill="1" applyAlignment="1" applyProtection="1">
      <alignment horizontal="center" wrapText="1"/>
    </xf>
    <xf numFmtId="37" fontId="3" fillId="0" borderId="66" xfId="0" applyNumberFormat="1" applyFont="1" applyFill="1" applyBorder="1" applyProtection="1">
      <protection locked="0"/>
    </xf>
    <xf numFmtId="37" fontId="3" fillId="0" borderId="35" xfId="0" applyNumberFormat="1" applyFont="1" applyFill="1" applyBorder="1" applyProtection="1">
      <protection locked="0"/>
    </xf>
    <xf numFmtId="37" fontId="3" fillId="0" borderId="39" xfId="0" applyNumberFormat="1" applyFont="1" applyFill="1" applyBorder="1" applyProtection="1">
      <protection locked="0"/>
    </xf>
    <xf numFmtId="37" fontId="3" fillId="0" borderId="69" xfId="0" applyNumberFormat="1" applyFont="1" applyFill="1" applyBorder="1" applyProtection="1">
      <protection locked="0"/>
    </xf>
    <xf numFmtId="37" fontId="3" fillId="0" borderId="70" xfId="0" applyNumberFormat="1" applyFont="1" applyFill="1" applyBorder="1" applyProtection="1">
      <protection locked="0"/>
    </xf>
    <xf numFmtId="37" fontId="15" fillId="0" borderId="0" xfId="0" applyNumberFormat="1" applyFont="1" applyFill="1" applyBorder="1" applyProtection="1">
      <protection locked="0"/>
    </xf>
    <xf numFmtId="37" fontId="15" fillId="0" borderId="40" xfId="0" applyNumberFormat="1" applyFont="1" applyFill="1" applyBorder="1" applyProtection="1"/>
    <xf numFmtId="37" fontId="15" fillId="0" borderId="22" xfId="0" applyNumberFormat="1" applyFont="1" applyFill="1" applyBorder="1" applyProtection="1"/>
    <xf numFmtId="37" fontId="15" fillId="0" borderId="45" xfId="0" applyNumberFormat="1" applyFont="1" applyFill="1" applyBorder="1" applyProtection="1"/>
    <xf numFmtId="0" fontId="44" fillId="0" borderId="0" xfId="38" applyFont="1" applyAlignment="1">
      <alignment horizontal="centerContinuous"/>
    </xf>
    <xf numFmtId="37" fontId="45" fillId="0" borderId="0" xfId="0" applyFont="1" applyFill="1" applyAlignment="1" applyProtection="1">
      <alignment horizontal="left"/>
    </xf>
    <xf numFmtId="37" fontId="0" fillId="0" borderId="0" xfId="0" applyFill="1" applyProtection="1"/>
    <xf numFmtId="37" fontId="25" fillId="0" borderId="0" xfId="0" applyFont="1" applyFill="1" applyBorder="1" applyProtection="1"/>
    <xf numFmtId="0" fontId="19" fillId="0" borderId="0" xfId="34" applyFill="1" applyAlignment="1" applyProtection="1">
      <alignment horizontal="center"/>
    </xf>
    <xf numFmtId="37" fontId="25" fillId="0" borderId="0" xfId="0" applyFont="1" applyFill="1" applyProtection="1"/>
    <xf numFmtId="37" fontId="25" fillId="0" borderId="66" xfId="0" applyFont="1" applyFill="1" applyBorder="1" applyAlignment="1" applyProtection="1">
      <alignment horizontal="center" vertical="center"/>
    </xf>
    <xf numFmtId="37" fontId="25" fillId="0" borderId="35" xfId="0" quotePrefix="1" applyFont="1" applyFill="1" applyBorder="1" applyAlignment="1" applyProtection="1">
      <alignment horizontal="center" vertical="center"/>
    </xf>
    <xf numFmtId="37" fontId="25" fillId="0" borderId="71" xfId="0" applyFont="1" applyFill="1" applyBorder="1" applyAlignment="1" applyProtection="1">
      <alignment horizontal="center" vertical="center"/>
    </xf>
    <xf numFmtId="37" fontId="25" fillId="0" borderId="72" xfId="0" applyFont="1" applyFill="1" applyBorder="1" applyAlignment="1" applyProtection="1">
      <alignment horizontal="center" vertical="top" wrapText="1"/>
    </xf>
    <xf numFmtId="37" fontId="25" fillId="0" borderId="0" xfId="0" applyFont="1" applyFill="1" applyBorder="1" applyAlignment="1" applyProtection="1">
      <alignment horizontal="center" vertical="center"/>
    </xf>
    <xf numFmtId="37" fontId="25" fillId="0" borderId="0" xfId="0" applyFont="1" applyFill="1" applyBorder="1" applyAlignment="1" applyProtection="1">
      <alignment horizontal="right" vertical="center"/>
    </xf>
    <xf numFmtId="37" fontId="25" fillId="0" borderId="65" xfId="0" applyFont="1" applyFill="1" applyBorder="1" applyAlignment="1" applyProtection="1">
      <alignment horizontal="center" vertical="center" wrapText="1"/>
    </xf>
    <xf numFmtId="37" fontId="25" fillId="0" borderId="0" xfId="0" applyFont="1" applyFill="1" applyBorder="1" applyAlignment="1" applyProtection="1">
      <alignment horizontal="center" vertical="center" wrapText="1"/>
    </xf>
    <xf numFmtId="37" fontId="25" fillId="0" borderId="73" xfId="0" applyFont="1" applyFill="1" applyBorder="1" applyAlignment="1" applyProtection="1">
      <alignment horizontal="center" vertical="center"/>
    </xf>
    <xf numFmtId="37" fontId="25" fillId="0" borderId="74" xfId="0" applyFont="1" applyFill="1" applyBorder="1" applyAlignment="1" applyProtection="1">
      <alignment horizontal="center" vertical="center"/>
    </xf>
    <xf numFmtId="37" fontId="25" fillId="0" borderId="0" xfId="0" applyFont="1" applyFill="1" applyAlignment="1" applyProtection="1">
      <alignment horizontal="left" indent="1"/>
    </xf>
    <xf numFmtId="3" fontId="25" fillId="0" borderId="75" xfId="0" applyNumberFormat="1" applyFont="1" applyFill="1" applyBorder="1" applyProtection="1"/>
    <xf numFmtId="3" fontId="25" fillId="0" borderId="0" xfId="0" applyNumberFormat="1" applyFont="1" applyFill="1" applyBorder="1" applyProtection="1">
      <protection locked="0"/>
    </xf>
    <xf numFmtId="37" fontId="48" fillId="0" borderId="0" xfId="0" applyFont="1" applyFill="1" applyProtection="1"/>
    <xf numFmtId="3" fontId="25" fillId="0" borderId="0" xfId="0" applyNumberFormat="1" applyFont="1" applyFill="1" applyProtection="1"/>
    <xf numFmtId="3" fontId="25" fillId="0" borderId="0" xfId="0" applyNumberFormat="1" applyFont="1" applyFill="1" applyAlignment="1" applyProtection="1">
      <alignment horizontal="right"/>
      <protection locked="0"/>
    </xf>
    <xf numFmtId="37" fontId="31" fillId="0" borderId="0" xfId="0" applyFont="1" applyFill="1" applyProtection="1"/>
    <xf numFmtId="3" fontId="25" fillId="0" borderId="35" xfId="0" applyNumberFormat="1" applyFont="1" applyFill="1" applyBorder="1" applyProtection="1"/>
    <xf numFmtId="37" fontId="50" fillId="28" borderId="0" xfId="0" applyFont="1" applyFill="1" applyProtection="1"/>
    <xf numFmtId="3" fontId="50" fillId="0" borderId="0" xfId="0" applyNumberFormat="1" applyFont="1" applyFill="1" applyProtection="1"/>
    <xf numFmtId="37" fontId="25" fillId="0" borderId="0" xfId="0" applyFont="1" applyFill="1" applyBorder="1" applyAlignment="1" applyProtection="1">
      <alignment horizontal="left" indent="1"/>
    </xf>
    <xf numFmtId="37" fontId="25" fillId="0" borderId="43" xfId="0" applyFont="1" applyFill="1" applyBorder="1" applyAlignment="1" applyProtection="1">
      <alignment horizontal="left" indent="1"/>
    </xf>
    <xf numFmtId="37" fontId="31" fillId="0" borderId="43" xfId="0" applyFont="1" applyFill="1" applyBorder="1" applyProtection="1"/>
    <xf numFmtId="3" fontId="25" fillId="0" borderId="66" xfId="0" applyNumberFormat="1" applyFont="1" applyFill="1" applyBorder="1" applyProtection="1"/>
    <xf numFmtId="3" fontId="25" fillId="0" borderId="76" xfId="0" quotePrefix="1" applyNumberFormat="1" applyFont="1" applyFill="1" applyBorder="1" applyProtection="1"/>
    <xf numFmtId="3" fontId="25" fillId="0" borderId="76" xfId="0" applyNumberFormat="1" applyFont="1" applyFill="1" applyBorder="1" applyProtection="1"/>
    <xf numFmtId="2" fontId="25" fillId="0" borderId="76" xfId="0" applyNumberFormat="1" applyFont="1" applyFill="1" applyBorder="1" applyAlignment="1" applyProtection="1">
      <alignment horizontal="center"/>
    </xf>
    <xf numFmtId="3" fontId="25" fillId="0" borderId="77" xfId="0" applyNumberFormat="1" applyFont="1" applyFill="1" applyBorder="1" applyProtection="1"/>
    <xf numFmtId="37" fontId="45" fillId="0" borderId="0" xfId="0" applyFont="1" applyFill="1" applyAlignment="1" applyProtection="1">
      <alignment horizontal="left" indent="1"/>
    </xf>
    <xf numFmtId="37" fontId="45" fillId="0" borderId="0" xfId="0" applyFont="1" applyFill="1" applyProtection="1"/>
    <xf numFmtId="37" fontId="45" fillId="0" borderId="0" xfId="0" quotePrefix="1" applyFont="1" applyFill="1" applyAlignment="1" applyProtection="1">
      <alignment horizontal="center"/>
    </xf>
    <xf numFmtId="37" fontId="45" fillId="0" borderId="0" xfId="0" applyFont="1" applyFill="1" applyAlignment="1" applyProtection="1">
      <alignment horizontal="center"/>
    </xf>
    <xf numFmtId="37" fontId="45" fillId="0" borderId="0" xfId="0" applyFont="1" applyFill="1" applyAlignment="1" applyProtection="1">
      <alignment horizontal="right"/>
    </xf>
    <xf numFmtId="38" fontId="25" fillId="0" borderId="78" xfId="0" applyNumberFormat="1" applyFont="1" applyFill="1" applyBorder="1" applyProtection="1"/>
    <xf numFmtId="37" fontId="48" fillId="0" borderId="0" xfId="0" applyFont="1" applyFill="1" applyAlignment="1" applyProtection="1">
      <alignment horizontal="center"/>
    </xf>
    <xf numFmtId="3" fontId="48" fillId="0" borderId="79" xfId="0" applyNumberFormat="1" applyFont="1" applyFill="1" applyBorder="1" applyProtection="1"/>
    <xf numFmtId="3" fontId="48" fillId="0" borderId="75" xfId="0" applyNumberFormat="1" applyFont="1" applyFill="1" applyBorder="1" applyProtection="1"/>
    <xf numFmtId="49" fontId="47" fillId="0" borderId="0" xfId="0" applyNumberFormat="1" applyFont="1" applyFill="1" applyAlignment="1" applyProtection="1">
      <alignment horizontal="left"/>
    </xf>
    <xf numFmtId="49" fontId="25" fillId="0" borderId="0" xfId="0" applyNumberFormat="1" applyFont="1" applyFill="1" applyAlignment="1" applyProtection="1">
      <alignment horizontal="right"/>
    </xf>
    <xf numFmtId="37" fontId="0" fillId="28" borderId="0" xfId="0" applyFill="1"/>
    <xf numFmtId="37" fontId="51" fillId="28" borderId="0" xfId="0" applyFont="1" applyFill="1" applyAlignment="1" applyProtection="1">
      <alignment horizontal="left"/>
    </xf>
    <xf numFmtId="37" fontId="50" fillId="28" borderId="0" xfId="0" applyFont="1" applyFill="1" applyAlignment="1" applyProtection="1">
      <alignment horizontal="left"/>
    </xf>
    <xf numFmtId="37" fontId="46" fillId="0" borderId="0" xfId="0" applyFont="1" applyFill="1" applyAlignment="1" applyProtection="1">
      <alignment horizontal="left"/>
    </xf>
    <xf numFmtId="49" fontId="15" fillId="0" borderId="43" xfId="0" applyNumberFormat="1" applyFont="1" applyBorder="1" applyAlignment="1" applyProtection="1">
      <alignment horizontal="left"/>
    </xf>
    <xf numFmtId="49" fontId="8" fillId="0" borderId="43" xfId="0" applyNumberFormat="1" applyFont="1" applyBorder="1" applyAlignment="1" applyProtection="1">
      <alignment horizontal="left"/>
    </xf>
    <xf numFmtId="49" fontId="8" fillId="0" borderId="0" xfId="0" applyNumberFormat="1" applyFont="1"/>
    <xf numFmtId="41" fontId="0" fillId="0" borderId="0" xfId="0" applyNumberFormat="1"/>
    <xf numFmtId="37" fontId="0" fillId="0" borderId="0" xfId="0" applyFill="1" applyAlignment="1"/>
    <xf numFmtId="37" fontId="7" fillId="0" borderId="0" xfId="0" applyFont="1" applyFill="1" applyAlignment="1"/>
    <xf numFmtId="0" fontId="15" fillId="26" borderId="43" xfId="0" applyNumberFormat="1" applyFont="1" applyFill="1" applyBorder="1" applyAlignment="1" applyProtection="1">
      <alignment horizontal="left"/>
    </xf>
    <xf numFmtId="37" fontId="15" fillId="26" borderId="0" xfId="0" applyFont="1" applyFill="1" applyProtection="1"/>
    <xf numFmtId="37" fontId="15" fillId="26" borderId="43" xfId="0" applyFont="1" applyFill="1" applyBorder="1" applyAlignment="1" applyProtection="1">
      <alignment horizontal="left"/>
    </xf>
    <xf numFmtId="37" fontId="53" fillId="0" borderId="0" xfId="39" applyNumberFormat="1" applyFont="1" applyFill="1" applyProtection="1"/>
    <xf numFmtId="37" fontId="15" fillId="26" borderId="43" xfId="0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left"/>
    </xf>
    <xf numFmtId="37" fontId="15" fillId="0" borderId="0" xfId="0" applyFont="1" applyFill="1" applyProtection="1"/>
    <xf numFmtId="37" fontId="40" fillId="0" borderId="0" xfId="0" applyFont="1" applyFill="1"/>
    <xf numFmtId="37" fontId="35" fillId="0" borderId="52" xfId="0" applyFont="1" applyFill="1" applyBorder="1" applyAlignment="1">
      <alignment horizontal="center" wrapText="1"/>
    </xf>
    <xf numFmtId="37" fontId="35" fillId="0" borderId="56" xfId="0" applyFont="1" applyFill="1" applyBorder="1" applyAlignment="1">
      <alignment horizontal="center" wrapText="1"/>
    </xf>
    <xf numFmtId="37" fontId="14" fillId="0" borderId="17" xfId="0" applyFont="1" applyBorder="1" applyAlignment="1">
      <alignment horizontal="center"/>
    </xf>
    <xf numFmtId="37" fontId="14" fillId="0" borderId="12" xfId="0" applyFont="1" applyBorder="1" applyAlignment="1">
      <alignment horizontal="center"/>
    </xf>
    <xf numFmtId="37" fontId="0" fillId="0" borderId="23" xfId="0" applyNumberFormat="1" applyFill="1" applyBorder="1" applyProtection="1"/>
    <xf numFmtId="37" fontId="0" fillId="0" borderId="0" xfId="0" applyFill="1" applyAlignment="1" applyProtection="1">
      <alignment horizontal="left"/>
    </xf>
    <xf numFmtId="37" fontId="0" fillId="0" borderId="0" xfId="0" applyFill="1" applyAlignment="1" applyProtection="1">
      <alignment horizontal="right"/>
    </xf>
    <xf numFmtId="37" fontId="0" fillId="0" borderId="35" xfId="0" applyFill="1" applyBorder="1"/>
    <xf numFmtId="37" fontId="36" fillId="0" borderId="0" xfId="0" applyFont="1" applyAlignment="1" applyProtection="1">
      <alignment horizontal="center"/>
      <protection locked="0"/>
    </xf>
    <xf numFmtId="37" fontId="36" fillId="0" borderId="0" xfId="0" applyFont="1" applyAlignment="1" applyProtection="1">
      <protection locked="0"/>
    </xf>
    <xf numFmtId="37" fontId="27" fillId="0" borderId="0" xfId="0" applyFont="1" applyProtection="1">
      <protection locked="0"/>
    </xf>
    <xf numFmtId="37" fontId="0" fillId="0" borderId="0" xfId="0" applyProtection="1">
      <protection locked="0"/>
    </xf>
    <xf numFmtId="37" fontId="27" fillId="0" borderId="0" xfId="0" quotePrefix="1" applyFont="1" applyProtection="1">
      <protection locked="0"/>
    </xf>
    <xf numFmtId="37" fontId="26" fillId="0" borderId="0" xfId="0" applyFont="1" applyAlignment="1" applyProtection="1">
      <alignment horizontal="left"/>
      <protection locked="0"/>
    </xf>
    <xf numFmtId="37" fontId="26" fillId="26" borderId="0" xfId="0" applyFont="1" applyFill="1" applyAlignment="1" applyProtection="1">
      <alignment horizontal="left"/>
      <protection locked="0"/>
    </xf>
    <xf numFmtId="37" fontId="27" fillId="0" borderId="0" xfId="0" quotePrefix="1" applyFont="1" applyAlignment="1" applyProtection="1">
      <alignment horizontal="left"/>
      <protection locked="0"/>
    </xf>
    <xf numFmtId="37" fontId="28" fillId="0" borderId="0" xfId="0" applyFont="1" applyAlignment="1" applyProtection="1">
      <alignment horizontal="left"/>
      <protection locked="0"/>
    </xf>
    <xf numFmtId="37" fontId="27" fillId="0" borderId="0" xfId="0" applyFont="1" applyAlignment="1" applyProtection="1">
      <alignment horizontal="left"/>
      <protection locked="0"/>
    </xf>
    <xf numFmtId="37" fontId="30" fillId="0" borderId="0" xfId="0" applyFont="1" applyProtection="1">
      <protection locked="0"/>
    </xf>
    <xf numFmtId="37" fontId="26" fillId="0" borderId="0" xfId="0" applyFont="1" applyAlignment="1" applyProtection="1">
      <protection locked="0"/>
    </xf>
    <xf numFmtId="37" fontId="25" fillId="0" borderId="0" xfId="0" applyFont="1" applyAlignment="1" applyProtection="1">
      <protection locked="0"/>
    </xf>
    <xf numFmtId="37" fontId="25" fillId="0" borderId="0" xfId="0" applyFont="1" applyProtection="1">
      <protection locked="0"/>
    </xf>
    <xf numFmtId="37" fontId="33" fillId="0" borderId="0" xfId="0" applyFont="1" applyAlignment="1" applyProtection="1">
      <protection locked="0"/>
    </xf>
    <xf numFmtId="37" fontId="25" fillId="0" borderId="0" xfId="0" applyFont="1" applyAlignment="1" applyProtection="1">
      <alignment horizontal="left"/>
      <protection locked="0"/>
    </xf>
    <xf numFmtId="37" fontId="37" fillId="0" borderId="0" xfId="0" applyFont="1" applyProtection="1">
      <protection locked="0"/>
    </xf>
    <xf numFmtId="37" fontId="37" fillId="0" borderId="80" xfId="0" applyFont="1" applyBorder="1" applyProtection="1">
      <protection locked="0"/>
    </xf>
    <xf numFmtId="37" fontId="37" fillId="0" borderId="0" xfId="0" applyFont="1" applyAlignment="1" applyProtection="1">
      <protection locked="0"/>
    </xf>
    <xf numFmtId="37" fontId="25" fillId="0" borderId="0" xfId="0" applyFont="1" applyFill="1" applyBorder="1" applyAlignment="1" applyProtection="1">
      <alignment horizontal="left"/>
      <protection locked="0"/>
    </xf>
    <xf numFmtId="37" fontId="31" fillId="0" borderId="0" xfId="0" applyFont="1" applyAlignment="1" applyProtection="1">
      <alignment horizontal="left"/>
      <protection locked="0"/>
    </xf>
    <xf numFmtId="37" fontId="38" fillId="0" borderId="0" xfId="0" applyFont="1" applyAlignment="1" applyProtection="1">
      <alignment horizontal="left"/>
      <protection locked="0"/>
    </xf>
    <xf numFmtId="37" fontId="25" fillId="0" borderId="0" xfId="0" quotePrefix="1" applyFont="1" applyAlignment="1" applyProtection="1">
      <alignment horizontal="left"/>
      <protection locked="0"/>
    </xf>
    <xf numFmtId="37" fontId="32" fillId="0" borderId="0" xfId="0" applyFont="1" applyProtection="1">
      <protection locked="0"/>
    </xf>
    <xf numFmtId="37" fontId="25" fillId="0" borderId="0" xfId="0" applyFont="1" applyBorder="1" applyAlignment="1" applyProtection="1">
      <alignment horizontal="left"/>
      <protection locked="0"/>
    </xf>
    <xf numFmtId="37" fontId="25" fillId="0" borderId="0" xfId="0" applyFont="1" applyBorder="1" applyAlignment="1" applyProtection="1">
      <alignment horizontal="right"/>
      <protection locked="0"/>
    </xf>
    <xf numFmtId="37" fontId="32" fillId="0" borderId="0" xfId="0" applyFont="1" applyAlignment="1" applyProtection="1">
      <alignment horizontal="left"/>
      <protection locked="0"/>
    </xf>
    <xf numFmtId="37" fontId="25" fillId="0" borderId="0" xfId="0" quotePrefix="1" applyFont="1" applyBorder="1" applyAlignment="1" applyProtection="1">
      <alignment horizontal="right"/>
      <protection locked="0"/>
    </xf>
    <xf numFmtId="37" fontId="15" fillId="0" borderId="0" xfId="0" applyFont="1" applyProtection="1">
      <protection locked="0"/>
    </xf>
    <xf numFmtId="49" fontId="15" fillId="0" borderId="0" xfId="0" applyNumberFormat="1" applyFont="1" applyAlignment="1" applyProtection="1">
      <alignment vertical="top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2" fillId="0" borderId="0" xfId="38" applyProtection="1">
      <protection locked="0"/>
    </xf>
    <xf numFmtId="0" fontId="2" fillId="0" borderId="0" xfId="38" applyAlignment="1" applyProtection="1">
      <alignment horizontal="centerContinuous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0" fontId="44" fillId="0" borderId="0" xfId="38" applyFont="1" applyAlignment="1" applyProtection="1">
      <alignment horizontal="centerContinuous"/>
      <protection locked="0"/>
    </xf>
    <xf numFmtId="0" fontId="2" fillId="0" borderId="0" xfId="38" applyFont="1" applyProtection="1">
      <protection locked="0"/>
    </xf>
    <xf numFmtId="0" fontId="70" fillId="0" borderId="0" xfId="38" applyFont="1" applyProtection="1">
      <protection locked="0"/>
    </xf>
    <xf numFmtId="3" fontId="71" fillId="0" borderId="0" xfId="38" applyNumberFormat="1" applyFont="1" applyProtection="1"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37" fontId="15" fillId="0" borderId="0" xfId="0" applyFont="1" applyFill="1" applyProtection="1">
      <protection locked="0"/>
    </xf>
    <xf numFmtId="49" fontId="15" fillId="0" borderId="0" xfId="0" applyNumberFormat="1" applyFont="1" applyFill="1" applyAlignment="1" applyProtection="1">
      <alignment vertical="top"/>
      <protection locked="0"/>
    </xf>
    <xf numFmtId="49" fontId="15" fillId="0" borderId="0" xfId="0" applyNumberFormat="1" applyFont="1" applyFill="1" applyAlignment="1" applyProtection="1">
      <alignment horizontal="left"/>
      <protection locked="0"/>
    </xf>
    <xf numFmtId="0" fontId="2" fillId="0" borderId="0" xfId="38" applyFill="1" applyProtection="1">
      <protection locked="0"/>
    </xf>
    <xf numFmtId="0" fontId="2" fillId="0" borderId="0" xfId="38" applyFill="1" applyAlignment="1" applyProtection="1">
      <alignment horizontal="centerContinuous"/>
      <protection locked="0"/>
    </xf>
    <xf numFmtId="49" fontId="0" fillId="0" borderId="0" xfId="0" applyNumberFormat="1" applyFill="1" applyProtection="1">
      <protection locked="0"/>
    </xf>
    <xf numFmtId="49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Fill="1" applyProtection="1">
      <protection locked="0"/>
    </xf>
    <xf numFmtId="40" fontId="0" fillId="0" borderId="0" xfId="0" applyNumberFormat="1" applyFill="1" applyProtection="1">
      <protection locked="0"/>
    </xf>
    <xf numFmtId="49" fontId="0" fillId="0" borderId="0" xfId="0" applyNumberFormat="1" applyFont="1" applyFill="1" applyAlignment="1" applyProtection="1">
      <alignment vertical="top"/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0" fontId="0" fillId="0" borderId="0" xfId="0" applyNumberFormat="1" applyFont="1" applyAlignment="1" applyProtection="1">
      <alignment horizontal="left"/>
      <protection locked="0"/>
    </xf>
    <xf numFmtId="167" fontId="0" fillId="0" borderId="0" xfId="0" applyNumberFormat="1" applyFill="1" applyProtection="1">
      <protection locked="0"/>
    </xf>
    <xf numFmtId="49" fontId="0" fillId="0" borderId="0" xfId="0" applyNumberFormat="1" applyFont="1" applyFill="1" applyProtection="1">
      <protection locked="0"/>
    </xf>
    <xf numFmtId="49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Continuous"/>
      <protection locked="0"/>
    </xf>
    <xf numFmtId="3" fontId="0" fillId="0" borderId="0" xfId="0" applyNumberFormat="1" applyFont="1" applyAlignment="1" applyProtection="1">
      <alignment horizontal="centerContinuous"/>
      <protection locked="0"/>
    </xf>
    <xf numFmtId="168" fontId="0" fillId="0" borderId="0" xfId="0" applyNumberFormat="1" applyProtection="1">
      <protection locked="0"/>
    </xf>
    <xf numFmtId="49" fontId="0" fillId="0" borderId="43" xfId="0" applyNumberFormat="1" applyFill="1" applyBorder="1" applyAlignment="1" applyProtection="1">
      <alignment horizontal="centerContinuous"/>
      <protection locked="0"/>
    </xf>
    <xf numFmtId="3" fontId="0" fillId="0" borderId="43" xfId="0" applyNumberFormat="1" applyBorder="1" applyAlignment="1" applyProtection="1">
      <alignment horizontal="centerContinuous"/>
      <protection locked="0"/>
    </xf>
    <xf numFmtId="49" fontId="0" fillId="29" borderId="0" xfId="0" applyNumberFormat="1" applyFill="1" applyProtection="1">
      <protection locked="0"/>
    </xf>
    <xf numFmtId="49" fontId="0" fillId="29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37" fontId="0" fillId="27" borderId="0" xfId="0" applyFill="1" applyProtection="1">
      <protection locked="0"/>
    </xf>
    <xf numFmtId="37" fontId="0" fillId="0" borderId="0" xfId="0" applyFill="1" applyProtection="1">
      <protection locked="0"/>
    </xf>
    <xf numFmtId="38" fontId="2" fillId="0" borderId="0" xfId="38" applyNumberFormat="1" applyProtection="1">
      <protection locked="0"/>
    </xf>
    <xf numFmtId="38" fontId="0" fillId="0" borderId="0" xfId="0" applyNumberFormat="1" applyProtection="1">
      <protection locked="0"/>
    </xf>
    <xf numFmtId="38" fontId="0" fillId="0" borderId="0" xfId="0" applyNumberFormat="1" applyFont="1" applyAlignment="1" applyProtection="1">
      <alignment horizontal="left"/>
      <protection locked="0"/>
    </xf>
    <xf numFmtId="38" fontId="0" fillId="0" borderId="0" xfId="0" applyNumberFormat="1" applyAlignment="1" applyProtection="1">
      <alignment horizontal="center"/>
      <protection locked="0"/>
    </xf>
    <xf numFmtId="38" fontId="0" fillId="0" borderId="0" xfId="0" applyNumberFormat="1" applyFill="1" applyProtection="1">
      <protection locked="0"/>
    </xf>
    <xf numFmtId="38" fontId="0" fillId="27" borderId="0" xfId="0" applyNumberFormat="1" applyFill="1" applyProtection="1">
      <protection locked="0"/>
    </xf>
    <xf numFmtId="38" fontId="0" fillId="0" borderId="0" xfId="0" applyNumberFormat="1" applyFill="1" applyAlignment="1" applyProtection="1">
      <alignment horizontal="center"/>
      <protection locked="0"/>
    </xf>
    <xf numFmtId="38" fontId="0" fillId="0" borderId="0" xfId="0" applyNumberFormat="1" applyAlignment="1" applyProtection="1">
      <alignment horizontal="left"/>
      <protection locked="0"/>
    </xf>
    <xf numFmtId="38" fontId="15" fillId="0" borderId="0" xfId="42" applyNumberFormat="1" applyFont="1" applyFill="1" applyAlignment="1" applyProtection="1">
      <protection locked="0"/>
    </xf>
    <xf numFmtId="38" fontId="2" fillId="0" borderId="0" xfId="38" applyNumberFormat="1" applyFill="1" applyProtection="1">
      <protection locked="0"/>
    </xf>
    <xf numFmtId="38" fontId="0" fillId="29" borderId="0" xfId="0" applyNumberFormat="1" applyFill="1" applyAlignment="1" applyProtection="1">
      <alignment horizontal="center"/>
      <protection locked="0"/>
    </xf>
    <xf numFmtId="38" fontId="0" fillId="29" borderId="0" xfId="0" applyNumberFormat="1" applyFill="1" applyProtection="1">
      <protection locked="0"/>
    </xf>
    <xf numFmtId="38" fontId="3" fillId="0" borderId="0" xfId="0" applyNumberFormat="1" applyFont="1" applyFill="1" applyProtection="1">
      <protection locked="0"/>
    </xf>
    <xf numFmtId="38" fontId="0" fillId="30" borderId="0" xfId="0" applyNumberFormat="1" applyFill="1" applyProtection="1">
      <protection locked="0"/>
    </xf>
    <xf numFmtId="170" fontId="3" fillId="0" borderId="0" xfId="0" applyNumberFormat="1" applyFont="1" applyFill="1" applyAlignment="1" applyProtection="1">
      <alignment horizontal="right"/>
      <protection locked="0"/>
    </xf>
    <xf numFmtId="10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49" fontId="0" fillId="26" borderId="0" xfId="0" applyNumberFormat="1" applyFill="1" applyAlignment="1" applyProtection="1">
      <alignment horizontal="center"/>
    </xf>
    <xf numFmtId="37" fontId="9" fillId="0" borderId="0" xfId="0" applyFont="1" applyAlignment="1" applyProtection="1">
      <alignment horizontal="right"/>
      <protection locked="0"/>
    </xf>
    <xf numFmtId="37" fontId="1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37" fontId="5" fillId="0" borderId="0" xfId="0" applyFont="1" applyProtection="1">
      <protection locked="0"/>
    </xf>
    <xf numFmtId="49" fontId="15" fillId="0" borderId="0" xfId="0" applyNumberFormat="1" applyFont="1" applyProtection="1"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15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37" fontId="8" fillId="0" borderId="0" xfId="0" applyFont="1" applyProtection="1"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37" fontId="12" fillId="0" borderId="0" xfId="0" applyFont="1" applyAlignment="1" applyProtection="1">
      <alignment horizontal="left" vertical="top"/>
      <protection locked="0"/>
    </xf>
    <xf numFmtId="37" fontId="15" fillId="0" borderId="0" xfId="0" applyNumberFormat="1" applyFont="1" applyProtection="1">
      <protection locked="0"/>
    </xf>
    <xf numFmtId="37" fontId="15" fillId="0" borderId="0" xfId="0" quotePrefix="1" applyFont="1" applyAlignment="1" applyProtection="1">
      <alignment vertical="top"/>
      <protection locked="0"/>
    </xf>
    <xf numFmtId="49" fontId="15" fillId="0" borderId="0" xfId="0" quotePrefix="1" applyNumberFormat="1" applyFont="1" applyAlignment="1" applyProtection="1">
      <alignment horizontal="left"/>
      <protection locked="0"/>
    </xf>
    <xf numFmtId="37" fontId="15" fillId="0" borderId="0" xfId="0" applyFont="1" applyAlignment="1" applyProtection="1">
      <alignment vertical="top"/>
      <protection locked="0"/>
    </xf>
    <xf numFmtId="37" fontId="15" fillId="0" borderId="0" xfId="0" quotePrefix="1" applyFont="1" applyFill="1" applyBorder="1" applyAlignment="1" applyProtection="1">
      <alignment vertical="top"/>
      <protection locked="0"/>
    </xf>
    <xf numFmtId="37" fontId="15" fillId="0" borderId="0" xfId="0" quotePrefix="1" applyFont="1" applyAlignment="1" applyProtection="1">
      <alignment horizontal="left" vertical="top"/>
      <protection locked="0"/>
    </xf>
    <xf numFmtId="49" fontId="15" fillId="0" borderId="0" xfId="0" quotePrefix="1" applyNumberFormat="1" applyFont="1" applyProtection="1">
      <protection locked="0"/>
    </xf>
    <xf numFmtId="37" fontId="15" fillId="0" borderId="0" xfId="0" quotePrefix="1" applyFont="1" applyBorder="1" applyAlignment="1" applyProtection="1">
      <alignment vertical="top"/>
      <protection locked="0"/>
    </xf>
    <xf numFmtId="37" fontId="15" fillId="0" borderId="0" xfId="0" applyFont="1" applyBorder="1" applyAlignment="1" applyProtection="1">
      <alignment vertical="top"/>
      <protection locked="0"/>
    </xf>
    <xf numFmtId="37" fontId="12" fillId="0" borderId="0" xfId="0" applyFont="1" applyAlignment="1" applyProtection="1">
      <alignment horizontal="left"/>
      <protection locked="0"/>
    </xf>
    <xf numFmtId="37" fontId="15" fillId="0" borderId="0" xfId="0" quotePrefix="1" applyFont="1" applyFill="1" applyBorder="1" applyAlignment="1" applyProtection="1">
      <alignment horizontal="left" vertical="top"/>
      <protection locked="0"/>
    </xf>
    <xf numFmtId="37" fontId="15" fillId="0" borderId="0" xfId="0" applyNumberFormat="1" applyFont="1" applyFill="1" applyProtection="1">
      <protection locked="0"/>
    </xf>
    <xf numFmtId="37" fontId="15" fillId="0" borderId="0" xfId="0" applyFont="1" applyAlignment="1" applyProtection="1">
      <alignment horizontal="left" wrapText="1"/>
      <protection locked="0"/>
    </xf>
    <xf numFmtId="37" fontId="15" fillId="0" borderId="0" xfId="0" quotePrefix="1" applyFont="1" applyProtection="1">
      <protection locked="0"/>
    </xf>
    <xf numFmtId="37" fontId="8" fillId="0" borderId="0" xfId="0" applyFont="1" applyAlignment="1" applyProtection="1">
      <alignment horizontal="left"/>
      <protection locked="0"/>
    </xf>
    <xf numFmtId="37" fontId="15" fillId="0" borderId="22" xfId="0" applyNumberFormat="1" applyFont="1" applyBorder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37" fontId="9" fillId="0" borderId="0" xfId="0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center"/>
      <protection locked="0"/>
    </xf>
    <xf numFmtId="37" fontId="15" fillId="0" borderId="0" xfId="0" quotePrefix="1" applyFont="1" applyAlignment="1" applyProtection="1">
      <alignment horizontal="center"/>
      <protection locked="0"/>
    </xf>
    <xf numFmtId="37" fontId="15" fillId="0" borderId="0" xfId="0" applyFont="1" applyAlignment="1" applyProtection="1">
      <protection locked="0"/>
    </xf>
    <xf numFmtId="37" fontId="12" fillId="0" borderId="0" xfId="0" applyFont="1" applyAlignment="1" applyProtection="1">
      <alignment horizontal="right"/>
      <protection locked="0"/>
    </xf>
    <xf numFmtId="37" fontId="15" fillId="0" borderId="0" xfId="0" applyFont="1" applyFill="1" applyAlignment="1" applyProtection="1"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8" fillId="0" borderId="0" xfId="0" quotePrefix="1" applyFont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22" fillId="0" borderId="0" xfId="0" applyNumberFormat="1" applyFont="1" applyProtection="1">
      <protection locked="0"/>
    </xf>
    <xf numFmtId="49" fontId="15" fillId="0" borderId="0" xfId="0" applyNumberFormat="1" applyFont="1" applyFill="1" applyProtection="1">
      <protection locked="0"/>
    </xf>
    <xf numFmtId="37" fontId="3" fillId="0" borderId="15" xfId="0" applyNumberFormat="1" applyFont="1" applyFill="1" applyBorder="1" applyProtection="1">
      <protection locked="0"/>
    </xf>
    <xf numFmtId="37" fontId="15" fillId="26" borderId="35" xfId="0" quotePrefix="1" applyNumberFormat="1" applyFont="1" applyFill="1" applyBorder="1" applyProtection="1"/>
    <xf numFmtId="37" fontId="15" fillId="26" borderId="35" xfId="0" applyNumberFormat="1" applyFont="1" applyFill="1" applyBorder="1" applyProtection="1"/>
    <xf numFmtId="37" fontId="15" fillId="0" borderId="0" xfId="0" applyFont="1" applyAlignment="1" applyProtection="1"/>
    <xf numFmtId="37" fontId="3" fillId="0" borderId="81" xfId="0" applyNumberFormat="1" applyFont="1" applyFill="1" applyBorder="1" applyProtection="1">
      <protection locked="0"/>
    </xf>
    <xf numFmtId="37" fontId="3" fillId="0" borderId="82" xfId="0" applyNumberFormat="1" applyFont="1" applyBorder="1" applyProtection="1">
      <protection locked="0"/>
    </xf>
    <xf numFmtId="37" fontId="3" fillId="0" borderId="83" xfId="0" applyNumberFormat="1" applyFont="1" applyBorder="1" applyProtection="1">
      <protection locked="0"/>
    </xf>
    <xf numFmtId="37" fontId="3" fillId="0" borderId="82" xfId="0" applyNumberFormat="1" applyFont="1" applyFill="1" applyBorder="1" applyProtection="1">
      <protection locked="0"/>
    </xf>
    <xf numFmtId="37" fontId="15" fillId="0" borderId="35" xfId="0" applyNumberFormat="1" applyFont="1" applyFill="1" applyBorder="1" applyProtection="1"/>
    <xf numFmtId="37" fontId="15" fillId="0" borderId="35" xfId="0" applyNumberFormat="1" applyFont="1" applyBorder="1" applyProtection="1"/>
    <xf numFmtId="37" fontId="15" fillId="0" borderId="84" xfId="0" applyNumberFormat="1" applyFont="1" applyFill="1" applyBorder="1" applyProtection="1"/>
    <xf numFmtId="37" fontId="15" fillId="0" borderId="41" xfId="0" applyNumberFormat="1" applyFont="1" applyFill="1" applyBorder="1" applyProtection="1"/>
    <xf numFmtId="37" fontId="15" fillId="0" borderId="84" xfId="0" applyNumberFormat="1" applyFont="1" applyBorder="1" applyProtection="1"/>
    <xf numFmtId="37" fontId="15" fillId="0" borderId="59" xfId="0" applyFont="1" applyBorder="1" applyProtection="1"/>
    <xf numFmtId="37" fontId="15" fillId="0" borderId="85" xfId="0" applyNumberFormat="1" applyFont="1" applyBorder="1" applyProtection="1"/>
    <xf numFmtId="37" fontId="15" fillId="0" borderId="43" xfId="0" applyFont="1" applyBorder="1" applyProtection="1"/>
    <xf numFmtId="37" fontId="15" fillId="0" borderId="85" xfId="0" applyNumberFormat="1" applyFont="1" applyFill="1" applyBorder="1" applyProtection="1"/>
    <xf numFmtId="37" fontId="15" fillId="0" borderId="43" xfId="0" applyNumberFormat="1" applyFont="1" applyFill="1" applyBorder="1" applyProtection="1"/>
    <xf numFmtId="37" fontId="15" fillId="0" borderId="86" xfId="0" applyNumberFormat="1" applyFont="1" applyBorder="1" applyProtection="1"/>
    <xf numFmtId="37" fontId="15" fillId="0" borderId="43" xfId="0" applyNumberFormat="1" applyFont="1" applyBorder="1" applyProtection="1"/>
    <xf numFmtId="37" fontId="15" fillId="0" borderId="87" xfId="0" applyNumberFormat="1" applyFont="1" applyBorder="1" applyProtection="1"/>
    <xf numFmtId="37" fontId="15" fillId="0" borderId="88" xfId="0" applyNumberFormat="1" applyFont="1" applyBorder="1" applyAlignment="1" applyProtection="1">
      <alignment horizontal="center" wrapText="1"/>
      <protection locked="0"/>
    </xf>
    <xf numFmtId="37" fontId="15" fillId="0" borderId="89" xfId="0" applyNumberFormat="1" applyFont="1" applyBorder="1" applyProtection="1"/>
    <xf numFmtId="37" fontId="15" fillId="0" borderId="90" xfId="0" applyNumberFormat="1" applyFont="1" applyBorder="1" applyProtection="1"/>
    <xf numFmtId="37" fontId="15" fillId="0" borderId="91" xfId="0" applyNumberFormat="1" applyFont="1" applyBorder="1" applyProtection="1"/>
    <xf numFmtId="37" fontId="15" fillId="0" borderId="92" xfId="0" applyNumberFormat="1" applyFont="1" applyBorder="1" applyProtection="1"/>
    <xf numFmtId="37" fontId="15" fillId="0" borderId="93" xfId="0" applyNumberFormat="1" applyFont="1" applyBorder="1" applyProtection="1"/>
    <xf numFmtId="37" fontId="15" fillId="0" borderId="94" xfId="0" applyNumberFormat="1" applyFont="1" applyBorder="1" applyProtection="1"/>
    <xf numFmtId="37" fontId="8" fillId="0" borderId="0" xfId="0" applyFont="1" applyAlignment="1" applyProtection="1">
      <protection locked="0"/>
    </xf>
    <xf numFmtId="37" fontId="10" fillId="0" borderId="0" xfId="0" applyFont="1" applyProtection="1">
      <protection locked="0"/>
    </xf>
    <xf numFmtId="37" fontId="9" fillId="0" borderId="0" xfId="0" applyFont="1" applyAlignment="1" applyProtection="1">
      <alignment horizontal="center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8" fillId="0" borderId="0" xfId="0" applyNumberFormat="1" applyFont="1" applyAlignment="1" applyProtection="1">
      <alignment horizontal="left"/>
      <protection locked="0"/>
    </xf>
    <xf numFmtId="37" fontId="21" fillId="0" borderId="0" xfId="0" applyFont="1" applyProtection="1">
      <protection locked="0"/>
    </xf>
    <xf numFmtId="37" fontId="15" fillId="0" borderId="45" xfId="0" applyNumberFormat="1" applyFont="1" applyBorder="1" applyProtection="1">
      <protection locked="0"/>
    </xf>
    <xf numFmtId="37" fontId="15" fillId="0" borderId="0" xfId="0" applyFont="1" applyFill="1" applyBorder="1" applyAlignment="1" applyProtection="1">
      <alignment horizontal="left"/>
      <protection locked="0"/>
    </xf>
    <xf numFmtId="37" fontId="3" fillId="0" borderId="0" xfId="0" applyNumberFormat="1" applyFont="1" applyBorder="1" applyProtection="1"/>
    <xf numFmtId="37" fontId="15" fillId="0" borderId="23" xfId="0" applyNumberFormat="1" applyFont="1" applyBorder="1" applyProtection="1"/>
    <xf numFmtId="37" fontId="15" fillId="0" borderId="67" xfId="0" applyNumberFormat="1" applyFont="1" applyBorder="1" applyProtection="1"/>
    <xf numFmtId="37" fontId="15" fillId="0" borderId="15" xfId="0" applyNumberFormat="1" applyFont="1" applyFill="1" applyBorder="1" applyProtection="1"/>
    <xf numFmtId="37" fontId="15" fillId="0" borderId="15" xfId="0" applyNumberFormat="1" applyFont="1" applyBorder="1" applyProtection="1"/>
    <xf numFmtId="37" fontId="15" fillId="0" borderId="0" xfId="0" applyFont="1" applyFill="1" applyAlignment="1" applyProtection="1"/>
    <xf numFmtId="37" fontId="3" fillId="0" borderId="66" xfId="0" applyNumberFormat="1" applyFont="1" applyFill="1" applyBorder="1" applyProtection="1"/>
    <xf numFmtId="37" fontId="3" fillId="0" borderId="0" xfId="0" applyNumberFormat="1" applyFont="1" applyFill="1" applyBorder="1" applyProtection="1"/>
    <xf numFmtId="37" fontId="3" fillId="0" borderId="70" xfId="0" applyNumberFormat="1" applyFont="1" applyFill="1" applyBorder="1" applyProtection="1"/>
    <xf numFmtId="37" fontId="15" fillId="0" borderId="66" xfId="0" applyNumberFormat="1" applyFont="1" applyFill="1" applyBorder="1" applyProtection="1"/>
    <xf numFmtId="37" fontId="15" fillId="0" borderId="39" xfId="0" applyNumberFormat="1" applyFont="1" applyFill="1" applyBorder="1" applyProtection="1"/>
    <xf numFmtId="37" fontId="15" fillId="0" borderId="69" xfId="0" applyNumberFormat="1" applyFont="1" applyFill="1" applyBorder="1" applyProtection="1"/>
    <xf numFmtId="37" fontId="15" fillId="0" borderId="23" xfId="0" applyNumberFormat="1" applyFont="1" applyFill="1" applyBorder="1" applyProtection="1"/>
    <xf numFmtId="37" fontId="3" fillId="0" borderId="44" xfId="0" applyNumberFormat="1" applyFont="1" applyBorder="1" applyProtection="1"/>
    <xf numFmtId="37" fontId="15" fillId="0" borderId="95" xfId="0" applyNumberFormat="1" applyFont="1" applyBorder="1" applyProtection="1"/>
    <xf numFmtId="37" fontId="15" fillId="0" borderId="38" xfId="0" applyNumberFormat="1" applyFont="1" applyBorder="1" applyProtection="1"/>
    <xf numFmtId="37" fontId="15" fillId="0" borderId="66" xfId="0" applyNumberFormat="1" applyFont="1" applyBorder="1" applyProtection="1"/>
    <xf numFmtId="37" fontId="10" fillId="0" borderId="0" xfId="0" applyFont="1" applyAlignment="1" applyProtection="1">
      <alignment horizontal="left"/>
      <protection locked="0"/>
    </xf>
    <xf numFmtId="37" fontId="15" fillId="0" borderId="0" xfId="0" applyFont="1" applyFill="1" applyBorder="1" applyProtection="1">
      <protection locked="0"/>
    </xf>
    <xf numFmtId="37" fontId="15" fillId="0" borderId="46" xfId="0" applyNumberFormat="1" applyFont="1" applyBorder="1" applyProtection="1"/>
    <xf numFmtId="37" fontId="15" fillId="0" borderId="0" xfId="0" quotePrefix="1" applyFont="1" applyFill="1"/>
    <xf numFmtId="37" fontId="3" fillId="0" borderId="96" xfId="0" applyNumberFormat="1" applyFont="1" applyFill="1" applyBorder="1" applyProtection="1">
      <protection locked="0"/>
    </xf>
    <xf numFmtId="37" fontId="3" fillId="0" borderId="96" xfId="0" applyNumberFormat="1" applyFont="1" applyBorder="1" applyProtection="1">
      <protection locked="0"/>
    </xf>
    <xf numFmtId="37" fontId="15" fillId="0" borderId="97" xfId="0" applyNumberFormat="1" applyFont="1" applyBorder="1" applyProtection="1"/>
    <xf numFmtId="37" fontId="15" fillId="0" borderId="97" xfId="0" applyNumberFormat="1" applyFont="1" applyFill="1" applyBorder="1" applyProtection="1"/>
    <xf numFmtId="37" fontId="0" fillId="0" borderId="0" xfId="0" quotePrefix="1" applyFill="1"/>
    <xf numFmtId="3" fontId="29" fillId="0" borderId="0" xfId="0" applyNumberFormat="1" applyFont="1" applyFill="1" applyProtection="1">
      <protection locked="0"/>
    </xf>
    <xf numFmtId="3" fontId="29" fillId="0" borderId="98" xfId="0" quotePrefix="1" applyNumberFormat="1" applyFont="1" applyFill="1" applyBorder="1" applyProtection="1">
      <protection locked="0"/>
    </xf>
    <xf numFmtId="3" fontId="29" fillId="0" borderId="99" xfId="0" quotePrefix="1" applyNumberFormat="1" applyFont="1" applyFill="1" applyBorder="1" applyProtection="1">
      <protection locked="0"/>
    </xf>
    <xf numFmtId="3" fontId="29" fillId="0" borderId="76" xfId="0" quotePrefix="1" applyNumberFormat="1" applyFont="1" applyFill="1" applyBorder="1" applyProtection="1">
      <protection locked="0"/>
    </xf>
    <xf numFmtId="3" fontId="29" fillId="0" borderId="88" xfId="0" quotePrefix="1" applyNumberFormat="1" applyFont="1" applyFill="1" applyBorder="1" applyProtection="1">
      <protection locked="0"/>
    </xf>
    <xf numFmtId="3" fontId="29" fillId="0" borderId="100" xfId="0" quotePrefix="1" applyNumberFormat="1" applyFont="1" applyFill="1" applyBorder="1" applyProtection="1">
      <protection locked="0"/>
    </xf>
    <xf numFmtId="3" fontId="29" fillId="0" borderId="101" xfId="0" quotePrefix="1" applyNumberFormat="1" applyFont="1" applyFill="1" applyBorder="1" applyProtection="1">
      <protection locked="0"/>
    </xf>
    <xf numFmtId="3" fontId="29" fillId="0" borderId="79" xfId="0" quotePrefix="1" applyNumberFormat="1" applyFont="1" applyFill="1" applyBorder="1" applyProtection="1">
      <protection locked="0"/>
    </xf>
    <xf numFmtId="3" fontId="29" fillId="0" borderId="75" xfId="0" quotePrefix="1" applyNumberFormat="1" applyFont="1" applyFill="1" applyBorder="1" applyProtection="1">
      <protection locked="0"/>
    </xf>
    <xf numFmtId="3" fontId="29" fillId="0" borderId="78" xfId="0" applyNumberFormat="1" applyFont="1" applyFill="1" applyBorder="1" applyProtection="1">
      <protection locked="0"/>
    </xf>
    <xf numFmtId="3" fontId="29" fillId="0" borderId="76" xfId="0" applyNumberFormat="1" applyFont="1" applyFill="1" applyBorder="1" applyProtection="1">
      <protection locked="0"/>
    </xf>
    <xf numFmtId="37" fontId="0" fillId="0" borderId="40" xfId="0" applyBorder="1" applyProtection="1"/>
    <xf numFmtId="37" fontId="17" fillId="0" borderId="0" xfId="0" applyFont="1" applyProtection="1"/>
    <xf numFmtId="37" fontId="15" fillId="0" borderId="67" xfId="0" applyNumberFormat="1" applyFont="1" applyFill="1" applyBorder="1" applyProtection="1"/>
    <xf numFmtId="37" fontId="3" fillId="0" borderId="24" xfId="0" applyNumberFormat="1" applyFont="1" applyBorder="1" applyProtection="1"/>
    <xf numFmtId="37" fontId="15" fillId="0" borderId="81" xfId="0" applyNumberFormat="1" applyFont="1" applyBorder="1" applyProtection="1"/>
    <xf numFmtId="37" fontId="3" fillId="0" borderId="0" xfId="0" applyNumberFormat="1" applyFont="1" applyProtection="1"/>
    <xf numFmtId="49" fontId="73" fillId="0" borderId="0" xfId="0" applyNumberFormat="1" applyFont="1" applyFill="1" applyAlignment="1" applyProtection="1">
      <alignment horizontal="center"/>
      <protection locked="0"/>
    </xf>
    <xf numFmtId="49" fontId="73" fillId="0" borderId="0" xfId="0" applyNumberFormat="1" applyFont="1" applyFill="1" applyProtection="1">
      <protection locked="0"/>
    </xf>
    <xf numFmtId="3" fontId="73" fillId="0" borderId="0" xfId="0" applyNumberFormat="1" applyFont="1" applyFill="1" applyProtection="1">
      <protection locked="0"/>
    </xf>
    <xf numFmtId="38" fontId="73" fillId="0" borderId="0" xfId="0" applyNumberFormat="1" applyFont="1" applyFill="1" applyProtection="1">
      <protection locked="0"/>
    </xf>
    <xf numFmtId="167" fontId="73" fillId="0" borderId="0" xfId="0" applyNumberFormat="1" applyFont="1" applyFill="1" applyProtection="1">
      <protection locked="0"/>
    </xf>
    <xf numFmtId="40" fontId="42" fillId="0" borderId="0" xfId="0" applyNumberFormat="1" applyFont="1" applyFill="1" applyBorder="1" applyProtection="1"/>
    <xf numFmtId="37" fontId="17" fillId="0" borderId="0" xfId="0" applyFont="1" applyFill="1" applyAlignment="1" applyProtection="1">
      <alignment horizontal="right"/>
    </xf>
    <xf numFmtId="39" fontId="41" fillId="0" borderId="0" xfId="0" applyNumberFormat="1" applyFont="1" applyFill="1" applyProtection="1"/>
    <xf numFmtId="49" fontId="15" fillId="0" borderId="0" xfId="0" applyNumberFormat="1" applyFont="1" applyFill="1" applyProtection="1"/>
    <xf numFmtId="40" fontId="42" fillId="0" borderId="0" xfId="0" applyNumberFormat="1" applyFont="1" applyBorder="1" applyProtection="1"/>
    <xf numFmtId="37" fontId="22" fillId="0" borderId="0" xfId="0" applyFont="1" applyAlignment="1" applyProtection="1">
      <alignment horizontal="left"/>
    </xf>
    <xf numFmtId="39" fontId="41" fillId="0" borderId="0" xfId="0" applyNumberFormat="1" applyFont="1" applyProtection="1"/>
    <xf numFmtId="49" fontId="15" fillId="0" borderId="0" xfId="0" applyNumberFormat="1" applyFont="1" applyProtection="1"/>
    <xf numFmtId="37" fontId="25" fillId="31" borderId="35" xfId="0" applyFont="1" applyFill="1" applyBorder="1" applyAlignment="1" applyProtection="1">
      <alignment horizontal="center" vertical="top" wrapText="1"/>
      <protection locked="0"/>
    </xf>
    <xf numFmtId="37" fontId="25" fillId="31" borderId="66" xfId="0" applyFont="1" applyFill="1" applyBorder="1" applyAlignment="1" applyProtection="1">
      <alignment horizontal="center" vertical="top" wrapText="1"/>
      <protection locked="0"/>
    </xf>
    <xf numFmtId="37" fontId="25" fillId="31" borderId="71" xfId="0" applyFont="1" applyFill="1" applyBorder="1" applyAlignment="1" applyProtection="1">
      <alignment horizontal="center" vertical="top" wrapText="1"/>
      <protection locked="0"/>
    </xf>
    <xf numFmtId="49" fontId="74" fillId="0" borderId="0" xfId="0" applyNumberFormat="1" applyFont="1" applyFill="1" applyAlignment="1" applyProtection="1">
      <alignment horizontal="right"/>
    </xf>
    <xf numFmtId="37" fontId="21" fillId="0" borderId="35" xfId="0" applyNumberFormat="1" applyFont="1" applyBorder="1" applyProtection="1"/>
    <xf numFmtId="38" fontId="15" fillId="26" borderId="0" xfId="0" applyNumberFormat="1" applyFont="1" applyFill="1" applyProtection="1"/>
    <xf numFmtId="0" fontId="2" fillId="0" borderId="102" xfId="38" applyBorder="1" applyProtection="1">
      <protection locked="0"/>
    </xf>
    <xf numFmtId="0" fontId="2" fillId="0" borderId="103" xfId="38" applyBorder="1" applyAlignment="1" applyProtection="1">
      <alignment horizontal="center"/>
      <protection locked="0"/>
    </xf>
    <xf numFmtId="3" fontId="2" fillId="0" borderId="103" xfId="38" applyNumberFormat="1" applyBorder="1" applyAlignment="1" applyProtection="1">
      <alignment horizontal="center"/>
      <protection locked="0"/>
    </xf>
    <xf numFmtId="0" fontId="2" fillId="0" borderId="104" xfId="38" applyBorder="1" applyAlignment="1" applyProtection="1">
      <alignment horizontal="center"/>
      <protection locked="0"/>
    </xf>
    <xf numFmtId="0" fontId="2" fillId="0" borderId="105" xfId="38" applyBorder="1" applyProtection="1">
      <protection locked="0"/>
    </xf>
    <xf numFmtId="0" fontId="44" fillId="0" borderId="0" xfId="38" applyFont="1" applyBorder="1" applyAlignment="1" applyProtection="1">
      <alignment horizontal="center"/>
      <protection locked="0"/>
    </xf>
    <xf numFmtId="0" fontId="44" fillId="0" borderId="106" xfId="38" applyFont="1" applyBorder="1" applyAlignment="1" applyProtection="1">
      <alignment horizontal="center"/>
      <protection locked="0"/>
    </xf>
    <xf numFmtId="3" fontId="2" fillId="0" borderId="0" xfId="38" applyNumberFormat="1" applyBorder="1" applyProtection="1">
      <protection locked="0"/>
    </xf>
    <xf numFmtId="3" fontId="2" fillId="0" borderId="106" xfId="38" applyNumberFormat="1" applyBorder="1" applyProtection="1">
      <protection locked="0"/>
    </xf>
    <xf numFmtId="0" fontId="2" fillId="0" borderId="107" xfId="38" applyBorder="1" applyProtection="1">
      <protection locked="0"/>
    </xf>
    <xf numFmtId="3" fontId="2" fillId="0" borderId="108" xfId="38" applyNumberFormat="1" applyBorder="1" applyProtection="1">
      <protection locked="0"/>
    </xf>
    <xf numFmtId="3" fontId="2" fillId="0" borderId="109" xfId="38" applyNumberFormat="1" applyBorder="1" applyProtection="1">
      <protection locked="0"/>
    </xf>
    <xf numFmtId="0" fontId="44" fillId="0" borderId="0" xfId="38" applyFont="1" applyProtection="1">
      <protection locked="0"/>
    </xf>
    <xf numFmtId="49" fontId="0" fillId="0" borderId="108" xfId="0" applyNumberFormat="1" applyFill="1" applyBorder="1" applyProtection="1">
      <protection locked="0"/>
    </xf>
    <xf numFmtId="38" fontId="0" fillId="0" borderId="108" xfId="0" applyNumberFormat="1" applyFill="1" applyBorder="1" applyProtection="1">
      <protection locked="0"/>
    </xf>
    <xf numFmtId="37" fontId="0" fillId="0" borderId="0" xfId="0" applyFill="1" applyBorder="1" applyProtection="1">
      <protection locked="0"/>
    </xf>
    <xf numFmtId="38" fontId="0" fillId="0" borderId="0" xfId="0" applyNumberFormat="1" applyFill="1" applyBorder="1" applyProtection="1">
      <protection locked="0"/>
    </xf>
    <xf numFmtId="37" fontId="3" fillId="0" borderId="35" xfId="0" applyFont="1" applyBorder="1" applyProtection="1">
      <protection locked="0"/>
    </xf>
    <xf numFmtId="37" fontId="21" fillId="0" borderId="35" xfId="0" applyFont="1" applyFill="1" applyBorder="1"/>
    <xf numFmtId="164" fontId="25" fillId="0" borderId="110" xfId="0" applyNumberFormat="1" applyFont="1" applyBorder="1" applyAlignment="1" applyProtection="1">
      <protection locked="0"/>
    </xf>
    <xf numFmtId="37" fontId="14" fillId="0" borderId="17" xfId="0" applyFont="1" applyFill="1" applyBorder="1" applyAlignment="1" applyProtection="1">
      <alignment horizontal="center"/>
    </xf>
    <xf numFmtId="37" fontId="14" fillId="0" borderId="30" xfId="0" applyFont="1" applyFill="1" applyBorder="1" applyAlignment="1" applyProtection="1">
      <alignment horizontal="center"/>
    </xf>
    <xf numFmtId="37" fontId="14" fillId="0" borderId="16" xfId="0" applyFont="1" applyFill="1" applyBorder="1" applyAlignment="1" applyProtection="1">
      <alignment horizontal="center"/>
    </xf>
    <xf numFmtId="37" fontId="14" fillId="0" borderId="32" xfId="0" applyNumberFormat="1" applyFont="1" applyBorder="1" applyAlignment="1" applyProtection="1">
      <alignment horizontal="right"/>
    </xf>
    <xf numFmtId="164" fontId="35" fillId="0" borderId="56" xfId="0" applyNumberFormat="1" applyFont="1" applyBorder="1" applyAlignment="1">
      <alignment wrapText="1"/>
    </xf>
    <xf numFmtId="37" fontId="75" fillId="0" borderId="0" xfId="0" quotePrefix="1" applyFont="1" applyAlignment="1" applyProtection="1">
      <alignment horizontal="left"/>
      <protection locked="0"/>
    </xf>
    <xf numFmtId="37" fontId="75" fillId="0" borderId="0" xfId="0" applyFont="1" applyAlignment="1" applyProtection="1">
      <alignment horizontal="left"/>
      <protection locked="0"/>
    </xf>
    <xf numFmtId="37" fontId="75" fillId="0" borderId="0" xfId="0" quotePrefix="1" applyFont="1" applyAlignment="1" applyProtection="1">
      <alignment horizontal="left"/>
    </xf>
    <xf numFmtId="37" fontId="75" fillId="0" borderId="0" xfId="0" applyFont="1" applyAlignment="1" applyProtection="1">
      <alignment horizontal="left"/>
    </xf>
    <xf numFmtId="37" fontId="75" fillId="0" borderId="0" xfId="0" quotePrefix="1" applyFont="1"/>
    <xf numFmtId="37" fontId="75" fillId="0" borderId="0" xfId="0" quotePrefix="1" applyFont="1" applyProtection="1"/>
    <xf numFmtId="40" fontId="41" fillId="0" borderId="0" xfId="0" quotePrefix="1" applyNumberFormat="1" applyFont="1" applyBorder="1"/>
    <xf numFmtId="40" fontId="43" fillId="0" borderId="0" xfId="0" applyNumberFormat="1" applyFont="1" applyFill="1" applyBorder="1"/>
    <xf numFmtId="37" fontId="15" fillId="26" borderId="0" xfId="0" applyFont="1" applyFill="1" applyAlignment="1" applyProtection="1">
      <alignment horizontal="left"/>
    </xf>
    <xf numFmtId="49" fontId="15" fillId="32" borderId="0" xfId="0" applyNumberFormat="1" applyFont="1" applyFill="1" applyAlignment="1" applyProtection="1">
      <alignment horizontal="left"/>
      <protection locked="0"/>
    </xf>
    <xf numFmtId="49" fontId="8" fillId="0" borderId="0" xfId="0" applyNumberFormat="1" applyFont="1" applyProtection="1">
      <protection locked="0"/>
    </xf>
    <xf numFmtId="37" fontId="15" fillId="26" borderId="41" xfId="0" applyNumberFormat="1" applyFont="1" applyFill="1" applyBorder="1" applyProtection="1"/>
    <xf numFmtId="49" fontId="15" fillId="0" borderId="0" xfId="0" applyNumberFormat="1" applyFont="1" applyAlignment="1" applyProtection="1">
      <alignment horizontal="right"/>
      <protection locked="0"/>
    </xf>
    <xf numFmtId="37" fontId="15" fillId="26" borderId="0" xfId="0" applyFont="1" applyFill="1" applyBorder="1" applyProtection="1"/>
    <xf numFmtId="37" fontId="15" fillId="26" borderId="23" xfId="0" applyNumberFormat="1" applyFont="1" applyFill="1" applyBorder="1" applyProtection="1"/>
    <xf numFmtId="37" fontId="15" fillId="26" borderId="0" xfId="0" applyFont="1" applyFill="1" applyBorder="1" applyAlignment="1" applyProtection="1">
      <alignment horizontal="left"/>
    </xf>
    <xf numFmtId="3" fontId="76" fillId="0" borderId="0" xfId="0" applyNumberFormat="1" applyFont="1" applyFill="1" applyProtection="1">
      <protection locked="0"/>
    </xf>
    <xf numFmtId="37" fontId="15" fillId="26" borderId="0" xfId="0" applyFont="1" applyFill="1"/>
    <xf numFmtId="49" fontId="8" fillId="26" borderId="43" xfId="0" applyNumberFormat="1" applyFont="1" applyFill="1" applyBorder="1" applyAlignment="1" applyProtection="1">
      <alignment horizontal="left"/>
    </xf>
    <xf numFmtId="37" fontId="15" fillId="26" borderId="0" xfId="0" quotePrefix="1" applyFont="1" applyFill="1" applyAlignment="1" applyProtection="1">
      <alignment horizontal="left"/>
    </xf>
    <xf numFmtId="37" fontId="3" fillId="0" borderId="40" xfId="0" applyFont="1" applyBorder="1" applyProtection="1">
      <protection locked="0"/>
    </xf>
    <xf numFmtId="37" fontId="15" fillId="0" borderId="111" xfId="0" applyNumberFormat="1" applyFont="1" applyBorder="1" applyProtection="1"/>
    <xf numFmtId="1" fontId="25" fillId="31" borderId="35" xfId="0" quotePrefix="1" applyNumberFormat="1" applyFont="1" applyFill="1" applyBorder="1" applyAlignment="1" applyProtection="1">
      <alignment horizontal="center" vertical="center" wrapText="1"/>
      <protection locked="0"/>
    </xf>
    <xf numFmtId="1" fontId="25" fillId="31" borderId="35" xfId="0" quotePrefix="1" applyNumberFormat="1" applyFont="1" applyFill="1" applyBorder="1" applyAlignment="1" applyProtection="1">
      <alignment horizontal="center"/>
      <protection locked="0"/>
    </xf>
    <xf numFmtId="1" fontId="25" fillId="31" borderId="35" xfId="0" applyNumberFormat="1" applyFont="1" applyFill="1" applyBorder="1" applyAlignment="1" applyProtection="1">
      <alignment horizontal="center" vertical="center" wrapText="1"/>
      <protection locked="0"/>
    </xf>
    <xf numFmtId="37" fontId="75" fillId="0" borderId="0" xfId="0" quotePrefix="1" applyFont="1" applyProtection="1">
      <protection locked="0"/>
    </xf>
    <xf numFmtId="37" fontId="15" fillId="26" borderId="82" xfId="0" applyNumberFormat="1" applyFont="1" applyFill="1" applyBorder="1" applyProtection="1"/>
    <xf numFmtId="37" fontId="51" fillId="28" borderId="0" xfId="0" applyFont="1" applyFill="1"/>
    <xf numFmtId="37" fontId="15" fillId="33" borderId="0" xfId="0" applyFont="1" applyFill="1" applyAlignment="1" applyProtection="1">
      <alignment horizontal="left"/>
      <protection locked="0"/>
    </xf>
    <xf numFmtId="49" fontId="15" fillId="33" borderId="0" xfId="0" quotePrefix="1" applyNumberFormat="1" applyFont="1" applyFill="1" applyProtection="1">
      <protection locked="0"/>
    </xf>
    <xf numFmtId="37" fontId="15" fillId="33" borderId="0" xfId="0" quotePrefix="1" applyFont="1" applyFill="1" applyAlignment="1" applyProtection="1">
      <alignment vertical="top"/>
      <protection locked="0"/>
    </xf>
    <xf numFmtId="1" fontId="15" fillId="33" borderId="0" xfId="0" quotePrefix="1" applyNumberFormat="1" applyFont="1" applyFill="1" applyAlignment="1">
      <alignment horizontal="left"/>
    </xf>
    <xf numFmtId="37" fontId="15" fillId="33" borderId="0" xfId="0" applyFont="1" applyFill="1"/>
    <xf numFmtId="37" fontId="15" fillId="33" borderId="0" xfId="0" applyFont="1" applyFill="1" applyAlignment="1" applyProtection="1">
      <alignment horizontal="left"/>
    </xf>
    <xf numFmtId="37" fontId="35" fillId="33" borderId="0" xfId="0" applyFont="1" applyFill="1" applyBorder="1" applyAlignment="1">
      <alignment wrapText="1"/>
    </xf>
    <xf numFmtId="37" fontId="1" fillId="0" borderId="0" xfId="0" quotePrefix="1" applyFont="1" applyAlignment="1" applyProtection="1">
      <alignment horizontal="left"/>
      <protection locked="0"/>
    </xf>
    <xf numFmtId="37" fontId="0" fillId="0" borderId="0" xfId="0" applyAlignment="1" applyProtection="1">
      <alignment horizontal="center" wrapText="1"/>
      <protection locked="0"/>
    </xf>
    <xf numFmtId="37" fontId="15" fillId="0" borderId="0" xfId="0" applyFont="1" applyFill="1" applyBorder="1" applyAlignment="1" applyProtection="1">
      <alignment vertical="top"/>
      <protection locked="0"/>
    </xf>
    <xf numFmtId="37" fontId="0" fillId="0" borderId="0" xfId="0" applyFill="1" applyAlignment="1" applyProtection="1">
      <alignment horizontal="left"/>
      <protection locked="0"/>
    </xf>
    <xf numFmtId="49" fontId="15" fillId="0" borderId="0" xfId="0" quotePrefix="1" applyNumberFormat="1" applyFont="1" applyFill="1" applyProtection="1">
      <protection locked="0"/>
    </xf>
    <xf numFmtId="1" fontId="15" fillId="0" borderId="0" xfId="0" quotePrefix="1" applyNumberFormat="1" applyFont="1" applyFill="1" applyAlignment="1">
      <alignment horizontal="left"/>
    </xf>
    <xf numFmtId="49" fontId="75" fillId="0" borderId="0" xfId="0" quotePrefix="1" applyNumberFormat="1" applyFont="1" applyFill="1" applyProtection="1">
      <protection locked="0"/>
    </xf>
    <xf numFmtId="37" fontId="0" fillId="0" borderId="0" xfId="0" applyAlignment="1" applyProtection="1">
      <alignment horizontal="left"/>
      <protection locked="0"/>
    </xf>
    <xf numFmtId="37" fontId="14" fillId="0" borderId="16" xfId="0" applyNumberFormat="1" applyFont="1" applyFill="1" applyBorder="1" applyProtection="1"/>
    <xf numFmtId="37" fontId="14" fillId="0" borderId="18" xfId="0" applyNumberFormat="1" applyFont="1" applyFill="1" applyBorder="1" applyProtection="1"/>
    <xf numFmtId="37" fontId="44" fillId="0" borderId="0" xfId="0" applyFont="1" applyAlignment="1">
      <alignment horizontal="right" wrapText="1"/>
    </xf>
    <xf numFmtId="37" fontId="0" fillId="0" borderId="0" xfId="0" applyFont="1"/>
    <xf numFmtId="37" fontId="0" fillId="0" borderId="0" xfId="0" applyFont="1" applyBorder="1"/>
    <xf numFmtId="37" fontId="0" fillId="0" borderId="0" xfId="0" applyFont="1" applyFill="1" applyBorder="1"/>
    <xf numFmtId="40" fontId="77" fillId="0" borderId="0" xfId="0" applyNumberFormat="1" applyFont="1" applyFill="1" applyBorder="1"/>
    <xf numFmtId="40" fontId="44" fillId="0" borderId="0" xfId="0" applyNumberFormat="1" applyFont="1" applyFill="1" applyBorder="1" applyAlignment="1">
      <alignment wrapText="1"/>
    </xf>
    <xf numFmtId="40" fontId="44" fillId="27" borderId="0" xfId="0" applyNumberFormat="1" applyFont="1" applyFill="1" applyBorder="1" applyAlignment="1">
      <alignment wrapText="1"/>
    </xf>
    <xf numFmtId="40" fontId="44" fillId="0" borderId="0" xfId="0" applyNumberFormat="1" applyFont="1" applyFill="1" applyBorder="1"/>
    <xf numFmtId="39" fontId="41" fillId="0" borderId="0" xfId="0" applyNumberFormat="1" applyFont="1" applyFill="1" applyBorder="1"/>
    <xf numFmtId="39" fontId="41" fillId="0" borderId="0" xfId="0" applyNumberFormat="1" applyFont="1" applyBorder="1"/>
    <xf numFmtId="40" fontId="41" fillId="27" borderId="0" xfId="0" applyNumberFormat="1" applyFont="1" applyFill="1" applyBorder="1"/>
    <xf numFmtId="37" fontId="44" fillId="0" borderId="0" xfId="0" applyFont="1" applyFill="1" applyAlignment="1">
      <alignment wrapText="1"/>
    </xf>
    <xf numFmtId="37" fontId="44" fillId="0" borderId="0" xfId="0" applyFont="1" applyFill="1" applyAlignment="1">
      <alignment horizontal="right" wrapText="1"/>
    </xf>
    <xf numFmtId="40" fontId="0" fillId="0" borderId="0" xfId="0" applyNumberFormat="1" applyFont="1" applyFill="1"/>
    <xf numFmtId="40" fontId="0" fillId="0" borderId="0" xfId="0" applyNumberFormat="1" applyFont="1" applyFill="1" applyBorder="1"/>
    <xf numFmtId="37" fontId="0" fillId="0" borderId="0" xfId="0" applyFont="1" applyFill="1"/>
    <xf numFmtId="37" fontId="44" fillId="0" borderId="0" xfId="0" applyFont="1" applyAlignment="1">
      <alignment wrapText="1"/>
    </xf>
    <xf numFmtId="37" fontId="39" fillId="0" borderId="0" xfId="0" applyNumberFormat="1" applyFont="1" applyAlignment="1">
      <alignment wrapText="1"/>
    </xf>
    <xf numFmtId="37" fontId="0" fillId="0" borderId="0" xfId="0" applyAlignment="1" applyProtection="1">
      <alignment horizontal="left" wrapText="1"/>
    </xf>
    <xf numFmtId="37" fontId="0" fillId="34" borderId="24" xfId="0" applyFill="1" applyBorder="1" applyProtection="1"/>
    <xf numFmtId="0" fontId="33" fillId="0" borderId="0" xfId="38" applyFont="1" applyAlignment="1" applyProtection="1">
      <alignment horizontal="centerContinuous"/>
      <protection locked="0"/>
    </xf>
    <xf numFmtId="37" fontId="75" fillId="0" borderId="0" xfId="0" applyFont="1" applyFill="1" applyAlignment="1" applyProtection="1">
      <alignment horizontal="left"/>
      <protection locked="0"/>
    </xf>
    <xf numFmtId="37" fontId="75" fillId="0" borderId="0" xfId="0" applyFont="1" applyProtection="1">
      <protection locked="0"/>
    </xf>
    <xf numFmtId="37" fontId="75" fillId="0" borderId="0" xfId="0" applyFont="1" applyFill="1" applyAlignment="1" applyProtection="1">
      <alignment horizontal="left"/>
    </xf>
    <xf numFmtId="37" fontId="75" fillId="0" borderId="0" xfId="0" applyFont="1"/>
    <xf numFmtId="37" fontId="78" fillId="0" borderId="0" xfId="0" applyFont="1" applyProtection="1">
      <protection locked="0"/>
    </xf>
    <xf numFmtId="37" fontId="78" fillId="0" borderId="0" xfId="0" applyNumberFormat="1" applyFont="1" applyProtection="1">
      <protection locked="0"/>
    </xf>
    <xf numFmtId="37" fontId="6" fillId="0" borderId="0" xfId="0" applyFont="1" applyFill="1" applyAlignment="1" applyProtection="1">
      <alignment horizontal="left"/>
    </xf>
    <xf numFmtId="37" fontId="20" fillId="0" borderId="35" xfId="0" applyFont="1" applyFill="1" applyBorder="1" applyAlignment="1">
      <alignment horizontal="center"/>
    </xf>
    <xf numFmtId="37" fontId="3" fillId="0" borderId="0" xfId="0" applyFont="1" applyFill="1" applyProtection="1"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37" fontId="0" fillId="0" borderId="0" xfId="0" quotePrefix="1" applyProtection="1">
      <protection locked="0"/>
    </xf>
    <xf numFmtId="37" fontId="0" fillId="0" borderId="0" xfId="0" applyNumberFormat="1" applyFill="1" applyProtection="1"/>
    <xf numFmtId="37" fontId="8" fillId="0" borderId="0" xfId="0" applyFont="1" applyFill="1"/>
    <xf numFmtId="37" fontId="0" fillId="0" borderId="24" xfId="0" applyNumberFormat="1" applyFill="1" applyBorder="1" applyProtection="1"/>
    <xf numFmtId="37" fontId="2" fillId="0" borderId="0" xfId="0" applyFont="1"/>
    <xf numFmtId="37" fontId="79" fillId="0" borderId="0" xfId="0" applyFont="1" applyAlignment="1" applyProtection="1">
      <alignment horizontal="left"/>
    </xf>
    <xf numFmtId="37" fontId="2" fillId="0" borderId="0" xfId="0" applyFont="1" applyAlignment="1" applyProtection="1">
      <alignment horizontal="right"/>
    </xf>
    <xf numFmtId="37" fontId="2" fillId="0" borderId="0" xfId="0" applyFont="1" applyAlignment="1" applyProtection="1">
      <alignment horizontal="left"/>
    </xf>
    <xf numFmtId="37" fontId="2" fillId="0" borderId="0" xfId="0" applyFont="1" applyBorder="1" applyAlignment="1" applyProtection="1">
      <alignment horizontal="left"/>
    </xf>
    <xf numFmtId="37" fontId="2" fillId="0" borderId="0" xfId="0" applyFont="1" applyBorder="1"/>
    <xf numFmtId="37" fontId="2" fillId="0" borderId="0" xfId="0" applyFont="1" applyBorder="1" applyProtection="1"/>
    <xf numFmtId="37" fontId="2" fillId="0" borderId="0" xfId="0" applyFont="1" applyBorder="1" applyAlignment="1" applyProtection="1">
      <alignment horizontal="right"/>
    </xf>
    <xf numFmtId="37" fontId="2" fillId="0" borderId="0" xfId="0" applyFont="1" applyBorder="1" applyAlignment="1">
      <alignment horizontal="right"/>
    </xf>
    <xf numFmtId="37" fontId="2" fillId="0" borderId="0" xfId="0" applyFont="1" applyFill="1"/>
    <xf numFmtId="37" fontId="2" fillId="0" borderId="43" xfId="0" applyFont="1" applyBorder="1"/>
    <xf numFmtId="37" fontId="2" fillId="0" borderId="12" xfId="0" applyFont="1" applyBorder="1"/>
    <xf numFmtId="37" fontId="1" fillId="0" borderId="0" xfId="0" applyFont="1"/>
    <xf numFmtId="37" fontId="2" fillId="0" borderId="58" xfId="0" applyFont="1" applyBorder="1"/>
    <xf numFmtId="37" fontId="79" fillId="0" borderId="0" xfId="0" applyFont="1" applyBorder="1" applyAlignment="1" applyProtection="1">
      <alignment horizontal="right"/>
    </xf>
    <xf numFmtId="37" fontId="2" fillId="0" borderId="60" xfId="0" applyFont="1" applyBorder="1"/>
    <xf numFmtId="37" fontId="2" fillId="0" borderId="58" xfId="0" applyFont="1" applyBorder="1" applyAlignment="1" applyProtection="1">
      <alignment horizontal="left"/>
    </xf>
    <xf numFmtId="37" fontId="1" fillId="0" borderId="60" xfId="0" applyFont="1" applyBorder="1" applyAlignment="1" applyProtection="1">
      <alignment horizontal="left"/>
    </xf>
    <xf numFmtId="37" fontId="2" fillId="0" borderId="60" xfId="0" applyFont="1" applyBorder="1" applyProtection="1"/>
    <xf numFmtId="37" fontId="2" fillId="0" borderId="58" xfId="0" quotePrefix="1" applyFont="1" applyBorder="1" applyAlignment="1" applyProtection="1">
      <alignment horizontal="left"/>
    </xf>
    <xf numFmtId="37" fontId="80" fillId="0" borderId="60" xfId="0" applyNumberFormat="1" applyFont="1" applyBorder="1" applyProtection="1"/>
    <xf numFmtId="37" fontId="2" fillId="0" borderId="58" xfId="0" applyFont="1" applyFill="1" applyBorder="1"/>
    <xf numFmtId="37" fontId="80" fillId="0" borderId="60" xfId="0" applyFont="1" applyBorder="1" applyProtection="1"/>
    <xf numFmtId="37" fontId="2" fillId="0" borderId="60" xfId="0" applyNumberFormat="1" applyFont="1" applyBorder="1" applyProtection="1"/>
    <xf numFmtId="37" fontId="2" fillId="0" borderId="113" xfId="0" applyFont="1" applyBorder="1"/>
    <xf numFmtId="37" fontId="2" fillId="0" borderId="114" xfId="0" applyFont="1" applyBorder="1"/>
    <xf numFmtId="37" fontId="2" fillId="0" borderId="63" xfId="0" applyFont="1" applyBorder="1"/>
    <xf numFmtId="37" fontId="2" fillId="0" borderId="115" xfId="0" applyFont="1" applyBorder="1"/>
    <xf numFmtId="37" fontId="2" fillId="0" borderId="68" xfId="0" applyFont="1" applyBorder="1"/>
    <xf numFmtId="37" fontId="0" fillId="0" borderId="0" xfId="0" applyBorder="1" applyAlignment="1">
      <alignment horizontal="center" wrapText="1"/>
    </xf>
    <xf numFmtId="37" fontId="0" fillId="0" borderId="60" xfId="0" applyBorder="1" applyAlignment="1">
      <alignment horizontal="center" wrapText="1"/>
    </xf>
    <xf numFmtId="37" fontId="0" fillId="0" borderId="58" xfId="0" applyBorder="1" applyAlignment="1">
      <alignment horizontal="center" wrapText="1"/>
    </xf>
    <xf numFmtId="37" fontId="2" fillId="0" borderId="112" xfId="0" applyFont="1" applyBorder="1"/>
    <xf numFmtId="37" fontId="2" fillId="0" borderId="59" xfId="0" applyFont="1" applyBorder="1"/>
    <xf numFmtId="37" fontId="2" fillId="0" borderId="50" xfId="0" applyFont="1" applyBorder="1"/>
    <xf numFmtId="37" fontId="2" fillId="0" borderId="60" xfId="0" applyFont="1" applyBorder="1" applyAlignment="1">
      <alignment horizontal="center"/>
    </xf>
    <xf numFmtId="37" fontId="2" fillId="0" borderId="116" xfId="0" applyFont="1" applyBorder="1"/>
    <xf numFmtId="37" fontId="0" fillId="0" borderId="58" xfId="0" applyFill="1" applyBorder="1"/>
    <xf numFmtId="37" fontId="0" fillId="0" borderId="60" xfId="0" applyFill="1" applyBorder="1"/>
    <xf numFmtId="37" fontId="2" fillId="0" borderId="68" xfId="0" applyFont="1" applyBorder="1" applyProtection="1"/>
    <xf numFmtId="37" fontId="36" fillId="0" borderId="0" xfId="0" applyFont="1" applyAlignment="1" applyProtection="1">
      <alignment horizontal="center"/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0" fontId="0" fillId="32" borderId="0" xfId="0" applyNumberFormat="1" applyFill="1" applyAlignment="1" applyProtection="1">
      <alignment horizontal="center"/>
      <protection locked="0"/>
    </xf>
    <xf numFmtId="37" fontId="0" fillId="32" borderId="0" xfId="0" applyFill="1" applyAlignment="1" applyProtection="1">
      <alignment horizontal="center"/>
      <protection locked="0"/>
    </xf>
    <xf numFmtId="37" fontId="8" fillId="0" borderId="0" xfId="0" applyFont="1" applyAlignment="1" applyProtection="1">
      <alignment horizontal="left" wrapText="1"/>
      <protection locked="0"/>
    </xf>
    <xf numFmtId="37" fontId="8" fillId="0" borderId="0" xfId="0" applyFont="1" applyBorder="1" applyAlignment="1" applyProtection="1">
      <alignment horizontal="left" wrapText="1"/>
      <protection locked="0"/>
    </xf>
    <xf numFmtId="37" fontId="8" fillId="0" borderId="0" xfId="0" applyFont="1" applyAlignment="1" applyProtection="1">
      <alignment horizontal="left" wrapText="1"/>
    </xf>
    <xf numFmtId="37" fontId="8" fillId="0" borderId="0" xfId="0" applyFont="1" applyBorder="1" applyAlignment="1" applyProtection="1">
      <alignment horizontal="left" wrapText="1"/>
    </xf>
    <xf numFmtId="37" fontId="15" fillId="0" borderId="0" xfId="0" applyFont="1" applyAlignment="1">
      <alignment horizontal="left" vertical="top" wrapText="1"/>
    </xf>
    <xf numFmtId="37" fontId="8" fillId="0" borderId="0" xfId="0" applyFont="1" applyAlignment="1" applyProtection="1">
      <alignment wrapText="1"/>
    </xf>
    <xf numFmtId="37" fontId="8" fillId="0" borderId="0" xfId="0" applyFont="1" applyBorder="1" applyAlignment="1" applyProtection="1">
      <alignment wrapText="1"/>
    </xf>
    <xf numFmtId="37" fontId="8" fillId="0" borderId="60" xfId="0" applyFont="1" applyBorder="1" applyAlignment="1" applyProtection="1">
      <alignment wrapText="1"/>
    </xf>
    <xf numFmtId="37" fontId="3" fillId="0" borderId="0" xfId="0" applyFont="1" applyAlignment="1">
      <alignment horizontal="left" wrapText="1"/>
    </xf>
    <xf numFmtId="37" fontId="8" fillId="0" borderId="60" xfId="0" applyFont="1" applyBorder="1" applyAlignment="1" applyProtection="1">
      <alignment horizontal="left" wrapText="1"/>
    </xf>
    <xf numFmtId="37" fontId="30" fillId="0" borderId="112" xfId="0" applyFont="1" applyBorder="1" applyAlignment="1" applyProtection="1">
      <alignment horizontal="center"/>
    </xf>
    <xf numFmtId="37" fontId="30" fillId="0" borderId="59" xfId="0" applyFont="1" applyBorder="1" applyAlignment="1" applyProtection="1">
      <alignment horizontal="center"/>
    </xf>
    <xf numFmtId="37" fontId="30" fillId="0" borderId="50" xfId="0" applyFont="1" applyBorder="1" applyAlignment="1" applyProtection="1">
      <alignment horizontal="center"/>
    </xf>
    <xf numFmtId="37" fontId="2" fillId="0" borderId="58" xfId="0" applyFont="1" applyBorder="1" applyAlignment="1" applyProtection="1">
      <alignment horizontal="center" wrapText="1"/>
    </xf>
    <xf numFmtId="37" fontId="0" fillId="0" borderId="0" xfId="0" applyBorder="1" applyAlignment="1">
      <alignment horizontal="center" wrapText="1"/>
    </xf>
    <xf numFmtId="37" fontId="0" fillId="0" borderId="60" xfId="0" applyBorder="1" applyAlignment="1">
      <alignment horizontal="center" wrapText="1"/>
    </xf>
    <xf numFmtId="37" fontId="0" fillId="0" borderId="58" xfId="0" applyBorder="1" applyAlignment="1">
      <alignment horizontal="center" wrapText="1"/>
    </xf>
    <xf numFmtId="37" fontId="30" fillId="0" borderId="58" xfId="0" applyFont="1" applyBorder="1" applyAlignment="1" applyProtection="1">
      <alignment horizontal="center" wrapText="1"/>
    </xf>
    <xf numFmtId="37" fontId="0" fillId="0" borderId="0" xfId="0"/>
    <xf numFmtId="37" fontId="0" fillId="0" borderId="0" xfId="0" applyAlignment="1" applyProtection="1">
      <alignment horizontal="left"/>
    </xf>
    <xf numFmtId="37" fontId="0" fillId="0" borderId="0" xfId="0" applyBorder="1"/>
    <xf numFmtId="37" fontId="2" fillId="0" borderId="43" xfId="0" applyFont="1" applyBorder="1"/>
    <xf numFmtId="37" fontId="2" fillId="0" borderId="0" xfId="0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Book1" xfId="38"/>
    <cellStyle name="Normal_Fund 22 Grants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4"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FU\CDE18\FY12-13\CDE18Master12-13_wor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Page 1 - FY2012-13"/>
      <sheetName val="GenFundREV"/>
      <sheetName val="GenFundExp"/>
      <sheetName val="GenFundExp2"/>
      <sheetName val="CharterFundRev"/>
      <sheetName val="CharterFundExp"/>
      <sheetName val="CharterFundExp2"/>
      <sheetName val="InsResv"/>
      <sheetName val="CPP Fund"/>
      <sheetName val="Fund 20 Grants"/>
      <sheetName val="ARRAGrants"/>
      <sheetName val="CapRes"/>
      <sheetName val="Fund 22 Grants"/>
      <sheetName val="GovGrants"/>
      <sheetName val="PupActiv"/>
      <sheetName val="FullDayKOverride"/>
      <sheetName val="Transp"/>
      <sheetName val="OthSpecRev"/>
      <sheetName val="BondRedm"/>
      <sheetName val="NonVoterDebt"/>
      <sheetName val="BuildFund"/>
      <sheetName val="SpecBuild"/>
      <sheetName val="CapResCapPrj"/>
      <sheetName val="FoodServ"/>
      <sheetName val="OtherEnterprise"/>
      <sheetName val="RiskRelated"/>
      <sheetName val="OtherInternal"/>
      <sheetName val="PupilActAgency"/>
      <sheetName val="Trust&amp;Agency"/>
      <sheetName val="Foundation Fund"/>
      <sheetName val="GASB 34 Perm. Fund"/>
      <sheetName val="District Debt"/>
      <sheetName val="Arbitrage"/>
      <sheetName val="AppropRes"/>
      <sheetName val="CDE-18 Error Report"/>
      <sheetName val="Tabor Spending Limitations"/>
      <sheetName val="Tabor Property Tax Limitation"/>
      <sheetName val="Budget Summary Worksheet"/>
      <sheetName val="Budget Summaries 1"/>
      <sheetName val="Budget Summaries 2"/>
      <sheetName val="Budget Summaries 3"/>
      <sheetName val="Budget Summaries 4"/>
      <sheetName val="Budget Summaries 5"/>
      <sheetName val="Uniform Budget 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I6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42">
          <cell r="I42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4">
          <cell r="D54" t="str">
            <v>Provide if required</v>
          </cell>
        </row>
      </sheetData>
      <sheetData sheetId="34">
        <row r="27">
          <cell r="G27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zoomScale="75" zoomScaleNormal="75" workbookViewId="0">
      <selection activeCell="A2" sqref="A2"/>
    </sheetView>
  </sheetViews>
  <sheetFormatPr defaultRowHeight="15.75" customHeight="1" x14ac:dyDescent="0.2"/>
  <cols>
    <col min="1" max="1" width="5.33203125" style="397" customWidth="1"/>
    <col min="2" max="2" width="142" style="397" customWidth="1"/>
    <col min="3" max="16384" width="9.33203125" style="397"/>
  </cols>
  <sheetData>
    <row r="1" spans="1:15" ht="20.25" x14ac:dyDescent="0.3">
      <c r="A1" s="770" t="s">
        <v>563</v>
      </c>
      <c r="B1" s="770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ht="15.75" customHeight="1" x14ac:dyDescent="0.3">
      <c r="A2" s="395"/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15" s="398" customFormat="1" ht="15.75" customHeight="1" x14ac:dyDescent="0.15"/>
    <row r="4" spans="1:15" ht="15.75" customHeight="1" x14ac:dyDescent="0.2">
      <c r="A4" s="399" t="s">
        <v>1159</v>
      </c>
      <c r="B4" s="397" t="s">
        <v>620</v>
      </c>
    </row>
    <row r="5" spans="1:15" ht="15.75" customHeight="1" x14ac:dyDescent="0.25">
      <c r="B5" s="400"/>
    </row>
    <row r="6" spans="1:15" ht="15.75" customHeight="1" x14ac:dyDescent="0.25">
      <c r="B6" s="401" t="s">
        <v>5</v>
      </c>
    </row>
    <row r="7" spans="1:15" ht="15.75" customHeight="1" x14ac:dyDescent="0.25">
      <c r="B7" s="400"/>
    </row>
    <row r="8" spans="1:15" ht="15.75" customHeight="1" x14ac:dyDescent="0.25">
      <c r="B8" s="400"/>
    </row>
    <row r="9" spans="1:15" ht="15.75" customHeight="1" x14ac:dyDescent="0.25">
      <c r="A9" s="399" t="s">
        <v>1160</v>
      </c>
      <c r="B9" s="402" t="s">
        <v>568</v>
      </c>
    </row>
    <row r="10" spans="1:15" ht="15.75" customHeight="1" x14ac:dyDescent="0.2">
      <c r="B10" s="403" t="s">
        <v>565</v>
      </c>
    </row>
    <row r="11" spans="1:15" ht="15.75" customHeight="1" x14ac:dyDescent="0.2">
      <c r="B11" s="403" t="s">
        <v>564</v>
      </c>
    </row>
    <row r="12" spans="1:15" ht="15.75" customHeight="1" x14ac:dyDescent="0.2">
      <c r="B12" s="403" t="s">
        <v>566</v>
      </c>
    </row>
    <row r="13" spans="1:15" ht="15.75" customHeight="1" x14ac:dyDescent="0.2">
      <c r="B13" s="403" t="s">
        <v>569</v>
      </c>
    </row>
    <row r="14" spans="1:15" ht="15.75" customHeight="1" x14ac:dyDescent="0.2">
      <c r="B14" s="403"/>
    </row>
    <row r="15" spans="1:15" ht="15.75" customHeight="1" x14ac:dyDescent="0.2">
      <c r="B15" s="403"/>
    </row>
    <row r="16" spans="1:15" ht="15.75" customHeight="1" x14ac:dyDescent="0.2">
      <c r="A16" s="399" t="s">
        <v>1161</v>
      </c>
      <c r="B16" s="404" t="s">
        <v>8</v>
      </c>
    </row>
    <row r="17" spans="1:2" ht="15.75" customHeight="1" x14ac:dyDescent="0.2">
      <c r="B17" s="404" t="s">
        <v>10</v>
      </c>
    </row>
    <row r="18" spans="1:2" ht="15.75" customHeight="1" x14ac:dyDescent="0.2">
      <c r="B18" s="403"/>
    </row>
    <row r="19" spans="1:2" ht="15.75" customHeight="1" x14ac:dyDescent="0.2">
      <c r="B19" s="403"/>
    </row>
    <row r="20" spans="1:2" ht="15.75" customHeight="1" x14ac:dyDescent="0.2">
      <c r="A20" s="399" t="s">
        <v>1228</v>
      </c>
      <c r="B20" s="404" t="s">
        <v>9</v>
      </c>
    </row>
    <row r="21" spans="1:2" ht="15.75" customHeight="1" x14ac:dyDescent="0.2">
      <c r="B21" s="404" t="s">
        <v>11</v>
      </c>
    </row>
    <row r="22" spans="1:2" ht="15.75" customHeight="1" x14ac:dyDescent="0.2">
      <c r="B22" s="404"/>
    </row>
    <row r="23" spans="1:2" ht="15.75" customHeight="1" x14ac:dyDescent="0.2">
      <c r="B23" s="404"/>
    </row>
    <row r="24" spans="1:2" ht="15.75" customHeight="1" x14ac:dyDescent="0.2">
      <c r="A24" s="399" t="s">
        <v>1229</v>
      </c>
      <c r="B24" s="404" t="s">
        <v>12</v>
      </c>
    </row>
    <row r="25" spans="1:2" ht="15.75" customHeight="1" x14ac:dyDescent="0.2">
      <c r="B25" s="404" t="s">
        <v>832</v>
      </c>
    </row>
    <row r="26" spans="1:2" ht="15.75" customHeight="1" x14ac:dyDescent="0.2">
      <c r="B26" s="404" t="s">
        <v>833</v>
      </c>
    </row>
    <row r="27" spans="1:2" ht="15.75" customHeight="1" x14ac:dyDescent="0.2">
      <c r="B27" s="404" t="s">
        <v>834</v>
      </c>
    </row>
    <row r="28" spans="1:2" ht="15.75" customHeight="1" x14ac:dyDescent="0.2">
      <c r="B28" s="404" t="s">
        <v>835</v>
      </c>
    </row>
    <row r="29" spans="1:2" ht="15.75" customHeight="1" x14ac:dyDescent="0.2">
      <c r="B29" s="404"/>
    </row>
    <row r="30" spans="1:2" ht="15.75" customHeight="1" x14ac:dyDescent="0.2">
      <c r="B30" s="404"/>
    </row>
    <row r="31" spans="1:2" ht="15.75" customHeight="1" x14ac:dyDescent="0.2">
      <c r="A31" s="399" t="s">
        <v>1230</v>
      </c>
      <c r="B31" s="404" t="s">
        <v>1648</v>
      </c>
    </row>
    <row r="32" spans="1:2" ht="15.75" customHeight="1" x14ac:dyDescent="0.2">
      <c r="B32" s="404" t="s">
        <v>1649</v>
      </c>
    </row>
    <row r="33" spans="1:6" ht="15.75" customHeight="1" x14ac:dyDescent="0.2">
      <c r="B33" s="404" t="s">
        <v>1650</v>
      </c>
    </row>
    <row r="34" spans="1:6" ht="15.75" customHeight="1" x14ac:dyDescent="0.2">
      <c r="B34" s="404"/>
    </row>
    <row r="35" spans="1:6" ht="15.75" customHeight="1" x14ac:dyDescent="0.2">
      <c r="B35" s="404"/>
    </row>
    <row r="36" spans="1:6" ht="15.75" customHeight="1" x14ac:dyDescent="0.2">
      <c r="A36" s="399" t="s">
        <v>1231</v>
      </c>
      <c r="B36" s="397" t="s">
        <v>567</v>
      </c>
      <c r="D36" s="228"/>
      <c r="E36" s="405"/>
      <c r="F36" s="405"/>
    </row>
    <row r="37" spans="1:6" ht="15.75" customHeight="1" x14ac:dyDescent="0.2">
      <c r="A37" s="399"/>
      <c r="D37" s="228"/>
      <c r="E37" s="405"/>
      <c r="F37" s="405"/>
    </row>
    <row r="38" spans="1:6" ht="15.75" customHeight="1" x14ac:dyDescent="0.2">
      <c r="A38" s="399"/>
      <c r="B38" s="397" t="s">
        <v>6</v>
      </c>
      <c r="D38" s="228"/>
      <c r="E38" s="405"/>
      <c r="F38" s="405"/>
    </row>
    <row r="39" spans="1:6" ht="15.75" customHeight="1" x14ac:dyDescent="0.2">
      <c r="A39" s="399"/>
      <c r="B39" s="397" t="s">
        <v>972</v>
      </c>
      <c r="D39" s="228"/>
      <c r="E39" s="405"/>
      <c r="F39" s="405"/>
    </row>
    <row r="40" spans="1:6" ht="15.75" customHeight="1" x14ac:dyDescent="0.2">
      <c r="A40" s="399"/>
      <c r="B40" s="397" t="s">
        <v>7</v>
      </c>
      <c r="D40" s="228"/>
      <c r="E40" s="405"/>
      <c r="F40" s="405"/>
    </row>
    <row r="41" spans="1:6" ht="15.75" customHeight="1" x14ac:dyDescent="0.2">
      <c r="A41" s="399"/>
      <c r="D41" s="228"/>
      <c r="E41" s="405"/>
      <c r="F41" s="405"/>
    </row>
    <row r="42" spans="1:6" ht="15.75" customHeight="1" x14ac:dyDescent="0.2">
      <c r="B42" s="229"/>
      <c r="C42" s="405"/>
      <c r="D42" s="228"/>
      <c r="E42" s="405"/>
      <c r="F42" s="405"/>
    </row>
    <row r="43" spans="1:6" ht="15.75" customHeight="1" x14ac:dyDescent="0.2">
      <c r="A43" s="399" t="s">
        <v>1232</v>
      </c>
      <c r="B43" s="397" t="s">
        <v>571</v>
      </c>
    </row>
    <row r="44" spans="1:6" ht="15.75" customHeight="1" x14ac:dyDescent="0.2">
      <c r="A44" s="399"/>
    </row>
    <row r="45" spans="1:6" ht="15.75" customHeight="1" x14ac:dyDescent="0.2">
      <c r="A45" s="399"/>
    </row>
    <row r="46" spans="1:6" ht="15.75" customHeight="1" x14ac:dyDescent="0.2">
      <c r="A46" s="399" t="s">
        <v>1240</v>
      </c>
      <c r="B46" s="404" t="s">
        <v>1489</v>
      </c>
    </row>
    <row r="47" spans="1:6" ht="15.75" customHeight="1" x14ac:dyDescent="0.2">
      <c r="B47" s="404" t="s">
        <v>615</v>
      </c>
    </row>
    <row r="48" spans="1:6" ht="15.75" customHeight="1" x14ac:dyDescent="0.2">
      <c r="B48" s="397" t="s">
        <v>617</v>
      </c>
    </row>
    <row r="51" spans="1:2" ht="15.75" customHeight="1" x14ac:dyDescent="0.2">
      <c r="A51" s="399" t="s">
        <v>1244</v>
      </c>
      <c r="B51" s="404" t="s">
        <v>1590</v>
      </c>
    </row>
    <row r="52" spans="1:2" ht="15.75" customHeight="1" x14ac:dyDescent="0.2">
      <c r="B52" s="397" t="s">
        <v>619</v>
      </c>
    </row>
    <row r="54" spans="1:2" ht="15.75" customHeight="1" x14ac:dyDescent="0.2">
      <c r="A54" s="397">
        <v>11</v>
      </c>
      <c r="B54" s="397" t="s">
        <v>1659</v>
      </c>
    </row>
  </sheetData>
  <sheetProtection formatCells="0" formatColumns="0" formatRows="0"/>
  <mergeCells count="1">
    <mergeCell ref="A1:B1"/>
  </mergeCells>
  <phoneticPr fontId="15" type="noConversion"/>
  <printOptions horizontalCentered="1"/>
  <pageMargins left="0.5" right="0.25" top="0.5" bottom="0.5" header="0.5" footer="0.25"/>
  <pageSetup scale="86" orientation="portrait" horizontalDpi="300" verticalDpi="300" r:id="rId1"/>
  <headerFooter alignWithMargins="0">
    <oddFooter>&amp;LCDE, Public School Finance Unit&amp;RRevised, March,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selection activeCell="A8" sqref="A8"/>
    </sheetView>
  </sheetViews>
  <sheetFormatPr defaultRowHeight="11.25" x14ac:dyDescent="0.2"/>
  <cols>
    <col min="1" max="1" width="35.83203125" style="408" customWidth="1"/>
    <col min="2" max="2" width="45.83203125" style="408" customWidth="1"/>
    <col min="3" max="3" width="4.83203125" style="408" customWidth="1"/>
    <col min="4" max="4" width="6.83203125" style="408" customWidth="1"/>
    <col min="5" max="5" width="35.83203125" style="408" customWidth="1"/>
    <col min="6" max="6" width="45.83203125" style="408" customWidth="1"/>
    <col min="7" max="7" width="4.83203125" style="408" customWidth="1"/>
    <col min="8" max="16384" width="9.33203125" style="408"/>
  </cols>
  <sheetData>
    <row r="1" spans="1:7" ht="15.75" x14ac:dyDescent="0.25">
      <c r="A1" s="685" t="s">
        <v>1698</v>
      </c>
      <c r="B1" s="406"/>
      <c r="C1" s="406"/>
      <c r="D1" s="406"/>
      <c r="E1" s="406"/>
      <c r="F1" s="407"/>
      <c r="G1" s="407"/>
    </row>
    <row r="2" spans="1:7" ht="15.75" x14ac:dyDescent="0.25">
      <c r="A2" s="409" t="s">
        <v>1490</v>
      </c>
      <c r="B2" s="406"/>
      <c r="C2" s="406"/>
      <c r="D2" s="406"/>
      <c r="E2" s="406"/>
      <c r="F2" s="407"/>
      <c r="G2" s="407"/>
    </row>
    <row r="3" spans="1:7" ht="15.75" x14ac:dyDescent="0.25">
      <c r="A3" s="409" t="s">
        <v>1575</v>
      </c>
      <c r="B3" s="406"/>
      <c r="C3" s="406"/>
      <c r="D3" s="406"/>
      <c r="E3" s="406"/>
      <c r="F3" s="407"/>
      <c r="G3" s="407"/>
    </row>
    <row r="5" spans="1:7" ht="12.75" customHeight="1" x14ac:dyDescent="0.2">
      <c r="A5" s="410" t="s">
        <v>1491</v>
      </c>
      <c r="B5" s="230"/>
      <c r="C5" s="411"/>
      <c r="D5" s="411"/>
      <c r="E5" s="410" t="s">
        <v>1492</v>
      </c>
      <c r="F5" s="231"/>
      <c r="G5" s="227"/>
    </row>
    <row r="6" spans="1:7" ht="12.75" customHeight="1" x14ac:dyDescent="0.2">
      <c r="A6" s="410" t="s">
        <v>1493</v>
      </c>
      <c r="B6" s="411"/>
      <c r="C6" s="412"/>
      <c r="D6" s="411"/>
      <c r="F6" s="411"/>
    </row>
    <row r="7" spans="1:7" ht="12.75" customHeight="1" x14ac:dyDescent="0.2">
      <c r="A7" s="410" t="s">
        <v>1709</v>
      </c>
      <c r="B7" s="232"/>
      <c r="C7" s="644"/>
      <c r="D7" s="413"/>
      <c r="E7" s="410" t="s">
        <v>940</v>
      </c>
      <c r="F7" s="233"/>
    </row>
    <row r="8" spans="1:7" ht="12.75" customHeight="1" x14ac:dyDescent="0.2">
      <c r="A8" s="414"/>
      <c r="B8" s="411"/>
      <c r="C8" s="411"/>
      <c r="D8" s="411"/>
      <c r="E8" s="411"/>
      <c r="F8" s="411"/>
    </row>
    <row r="9" spans="1:7" ht="12.75" customHeight="1" x14ac:dyDescent="0.2">
      <c r="A9" s="407"/>
      <c r="B9" s="413"/>
      <c r="C9" s="413"/>
      <c r="D9" s="413"/>
      <c r="E9" s="413"/>
      <c r="F9" s="413"/>
      <c r="G9" s="407"/>
    </row>
    <row r="10" spans="1:7" ht="12.75" customHeight="1" x14ac:dyDescent="0.2">
      <c r="D10" s="413"/>
      <c r="E10" s="413"/>
      <c r="F10" s="413"/>
      <c r="G10" s="407"/>
    </row>
    <row r="11" spans="1:7" ht="12.75" customHeight="1" x14ac:dyDescent="0.2">
      <c r="A11" s="407" t="s">
        <v>1494</v>
      </c>
      <c r="B11" s="413"/>
      <c r="C11" s="413"/>
      <c r="D11" s="413"/>
      <c r="E11" s="413"/>
      <c r="F11" s="413"/>
      <c r="G11" s="407"/>
    </row>
    <row r="12" spans="1:7" ht="12.75" customHeight="1" x14ac:dyDescent="0.2">
      <c r="A12" s="415" t="s">
        <v>1495</v>
      </c>
      <c r="E12" s="415" t="s">
        <v>1495</v>
      </c>
    </row>
    <row r="13" spans="1:7" ht="12.75" customHeight="1" x14ac:dyDescent="0.2">
      <c r="A13" s="416" t="s">
        <v>1496</v>
      </c>
      <c r="E13" s="416" t="s">
        <v>1496</v>
      </c>
    </row>
    <row r="14" spans="1:7" ht="12.75" customHeight="1" x14ac:dyDescent="0.2">
      <c r="A14" s="410" t="s">
        <v>1608</v>
      </c>
      <c r="E14" s="415" t="s">
        <v>1609</v>
      </c>
    </row>
    <row r="15" spans="1:7" ht="12.75" customHeight="1" x14ac:dyDescent="0.2">
      <c r="A15" s="410" t="s">
        <v>1610</v>
      </c>
      <c r="E15" s="410" t="s">
        <v>1042</v>
      </c>
      <c r="F15" s="413"/>
    </row>
    <row r="16" spans="1:7" ht="12.75" customHeight="1" x14ac:dyDescent="0.2">
      <c r="A16" s="410" t="s">
        <v>1646</v>
      </c>
      <c r="E16" s="410" t="s">
        <v>1349</v>
      </c>
      <c r="F16" s="413"/>
    </row>
    <row r="17" spans="1:5" ht="12.75" customHeight="1" x14ac:dyDescent="0.2">
      <c r="A17" s="410" t="s">
        <v>1647</v>
      </c>
      <c r="E17" s="410" t="s">
        <v>1041</v>
      </c>
    </row>
    <row r="18" spans="1:5" ht="12.75" customHeight="1" x14ac:dyDescent="0.2">
      <c r="A18" s="417" t="s">
        <v>108</v>
      </c>
      <c r="E18" s="415" t="s">
        <v>955</v>
      </c>
    </row>
    <row r="19" spans="1:5" ht="12.75" customHeight="1" x14ac:dyDescent="0.2">
      <c r="A19" s="410" t="s">
        <v>1348</v>
      </c>
      <c r="E19" s="410" t="s">
        <v>1614</v>
      </c>
    </row>
    <row r="20" spans="1:5" ht="12.75" customHeight="1" x14ac:dyDescent="0.2">
      <c r="A20" s="415" t="s">
        <v>1611</v>
      </c>
      <c r="E20" s="410" t="s">
        <v>1615</v>
      </c>
    </row>
    <row r="21" spans="1:5" ht="12.75" hidden="1" customHeight="1" x14ac:dyDescent="0.2">
      <c r="A21" s="410" t="s">
        <v>973</v>
      </c>
    </row>
    <row r="22" spans="1:5" ht="12.75" customHeight="1" x14ac:dyDescent="0.2">
      <c r="A22" s="417" t="s">
        <v>974</v>
      </c>
      <c r="E22" s="410" t="s">
        <v>958</v>
      </c>
    </row>
    <row r="23" spans="1:5" ht="12.75" customHeight="1" x14ac:dyDescent="0.2">
      <c r="A23" s="410" t="s">
        <v>2</v>
      </c>
      <c r="E23" s="410" t="s">
        <v>1043</v>
      </c>
    </row>
    <row r="24" spans="1:5" ht="12.75" customHeight="1" x14ac:dyDescent="0.2">
      <c r="A24" s="410" t="s">
        <v>1613</v>
      </c>
      <c r="E24" s="410" t="s">
        <v>1044</v>
      </c>
    </row>
    <row r="25" spans="1:5" ht="12.75" customHeight="1" x14ac:dyDescent="0.2">
      <c r="A25" s="417" t="s">
        <v>347</v>
      </c>
      <c r="E25" s="410"/>
    </row>
    <row r="26" spans="1:5" ht="12.75" customHeight="1" x14ac:dyDescent="0.2">
      <c r="A26" s="417" t="s">
        <v>3</v>
      </c>
      <c r="E26" s="410"/>
    </row>
    <row r="27" spans="1:5" ht="12.75" customHeight="1" x14ac:dyDescent="0.2">
      <c r="A27" s="417" t="s">
        <v>4</v>
      </c>
      <c r="E27" s="410"/>
    </row>
    <row r="28" spans="1:5" ht="12.75" customHeight="1" x14ac:dyDescent="0.2">
      <c r="A28" s="415" t="s">
        <v>1529</v>
      </c>
      <c r="E28" s="415" t="s">
        <v>941</v>
      </c>
    </row>
    <row r="29" spans="1:5" ht="12.75" customHeight="1" x14ac:dyDescent="0.2">
      <c r="A29" s="417" t="s">
        <v>1531</v>
      </c>
      <c r="E29" s="410" t="s">
        <v>1530</v>
      </c>
    </row>
    <row r="30" spans="1:5" ht="12.75" customHeight="1" x14ac:dyDescent="0.2">
      <c r="A30" s="417" t="s">
        <v>1682</v>
      </c>
      <c r="E30" s="410" t="s">
        <v>1530</v>
      </c>
    </row>
    <row r="31" spans="1:5" ht="12.75" customHeight="1" x14ac:dyDescent="0.2">
      <c r="A31" s="415" t="s">
        <v>850</v>
      </c>
      <c r="E31" s="410" t="s">
        <v>849</v>
      </c>
    </row>
    <row r="32" spans="1:5" ht="12.75" customHeight="1" x14ac:dyDescent="0.2">
      <c r="A32" s="417" t="s">
        <v>56</v>
      </c>
      <c r="E32" s="410" t="s">
        <v>55</v>
      </c>
    </row>
    <row r="33" spans="1:6" ht="12.75" customHeight="1" x14ac:dyDescent="0.2">
      <c r="A33" s="417" t="s">
        <v>57</v>
      </c>
      <c r="E33" s="410" t="s">
        <v>942</v>
      </c>
    </row>
    <row r="34" spans="1:6" ht="12.75" customHeight="1" x14ac:dyDescent="0.2">
      <c r="A34" s="410" t="s">
        <v>58</v>
      </c>
      <c r="E34" s="408" t="s">
        <v>1039</v>
      </c>
    </row>
    <row r="35" spans="1:6" ht="12.75" customHeight="1" x14ac:dyDescent="0.2">
      <c r="A35" s="415" t="s">
        <v>60</v>
      </c>
      <c r="E35" s="408" t="s">
        <v>1045</v>
      </c>
    </row>
    <row r="36" spans="1:6" ht="12.75" customHeight="1" x14ac:dyDescent="0.2">
      <c r="A36" s="417" t="s">
        <v>61</v>
      </c>
      <c r="B36" s="413"/>
      <c r="E36" s="415" t="s">
        <v>59</v>
      </c>
    </row>
    <row r="37" spans="1:6" ht="12.75" customHeight="1" x14ac:dyDescent="0.2">
      <c r="A37" s="417" t="s">
        <v>1040</v>
      </c>
      <c r="E37" s="410" t="s">
        <v>62</v>
      </c>
    </row>
    <row r="38" spans="1:6" ht="12.75" customHeight="1" x14ac:dyDescent="0.2">
      <c r="A38" s="411"/>
      <c r="B38" s="411"/>
      <c r="C38" s="411"/>
      <c r="D38" s="411"/>
    </row>
    <row r="39" spans="1:6" ht="12.75" customHeight="1" x14ac:dyDescent="0.2">
      <c r="A39" s="410" t="s">
        <v>63</v>
      </c>
      <c r="B39" s="411"/>
      <c r="C39" s="411"/>
      <c r="D39" s="411"/>
    </row>
    <row r="40" spans="1:6" ht="12.75" customHeight="1" x14ac:dyDescent="0.2">
      <c r="A40" s="411"/>
      <c r="B40" s="411"/>
      <c r="C40" s="411"/>
      <c r="D40" s="411"/>
    </row>
    <row r="41" spans="1:6" ht="12.75" customHeight="1" x14ac:dyDescent="0.2">
      <c r="A41" s="410" t="s">
        <v>64</v>
      </c>
      <c r="B41" s="234"/>
      <c r="E41" s="410" t="s">
        <v>65</v>
      </c>
      <c r="F41" s="234"/>
    </row>
    <row r="42" spans="1:6" ht="12.75" customHeight="1" x14ac:dyDescent="0.2"/>
    <row r="43" spans="1:6" ht="12.75" customHeight="1" x14ac:dyDescent="0.2">
      <c r="A43" s="410" t="s">
        <v>66</v>
      </c>
      <c r="B43" s="234"/>
      <c r="C43" s="407"/>
      <c r="D43" s="407"/>
      <c r="E43" s="410" t="s">
        <v>1585</v>
      </c>
      <c r="F43" s="234"/>
    </row>
    <row r="45" spans="1:6" ht="12.75" x14ac:dyDescent="0.2">
      <c r="A45" s="410" t="s">
        <v>618</v>
      </c>
      <c r="B45" s="302"/>
      <c r="C45" s="418"/>
      <c r="D45" s="418"/>
      <c r="E45" s="419"/>
      <c r="F45" s="420"/>
    </row>
    <row r="46" spans="1:6" ht="12.75" x14ac:dyDescent="0.2">
      <c r="A46" s="418"/>
      <c r="B46" s="421"/>
      <c r="C46" s="418"/>
      <c r="D46" s="418"/>
      <c r="E46" s="419"/>
      <c r="F46" s="420"/>
    </row>
    <row r="47" spans="1:6" ht="12.75" x14ac:dyDescent="0.2">
      <c r="A47" s="418"/>
      <c r="B47" s="421"/>
      <c r="C47" s="418"/>
      <c r="D47" s="418"/>
      <c r="E47" s="419"/>
      <c r="F47" s="420"/>
    </row>
    <row r="48" spans="1:6" ht="12.75" x14ac:dyDescent="0.2">
      <c r="A48" s="418"/>
      <c r="B48" s="421"/>
      <c r="C48" s="418"/>
      <c r="D48" s="418"/>
      <c r="E48" s="419"/>
      <c r="F48" s="422"/>
    </row>
    <row r="50" spans="1:2" ht="12.75" x14ac:dyDescent="0.2">
      <c r="A50" s="421"/>
      <c r="B50" s="418"/>
    </row>
    <row r="51" spans="1:2" ht="12.75" x14ac:dyDescent="0.2">
      <c r="A51" s="421"/>
      <c r="B51" s="418"/>
    </row>
  </sheetData>
  <sheetProtection formatCells="0" formatColumns="0" formatRows="0"/>
  <phoneticPr fontId="15" type="noConversion"/>
  <pageMargins left="0.75" right="0.75" top="1" bottom="1" header="0.5" footer="0.5"/>
  <pageSetup scale="74" orientation="landscape" horizontalDpi="300" verticalDpi="300" r:id="rId1"/>
  <headerFooter alignWithMargins="0">
    <oddFooter>&amp;LCDE, Public Scool Finance Unit&amp;C&amp;P&amp;RRevised  March, 2009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B1:N48"/>
  <sheetViews>
    <sheetView zoomScaleNormal="100" workbookViewId="0">
      <selection activeCell="B5" sqref="B5"/>
    </sheetView>
  </sheetViews>
  <sheetFormatPr defaultColWidth="10.6640625" defaultRowHeight="12.75" x14ac:dyDescent="0.2"/>
  <cols>
    <col min="1" max="1" width="9.33203125" style="426" customWidth="1"/>
    <col min="2" max="2" width="6.83203125" style="426" customWidth="1"/>
    <col min="3" max="3" width="12.6640625" style="426" customWidth="1"/>
    <col min="4" max="16384" width="10.6640625" style="426"/>
  </cols>
  <sheetData>
    <row r="1" spans="2:14" x14ac:dyDescent="0.2">
      <c r="B1" s="423" t="s">
        <v>106</v>
      </c>
      <c r="C1" s="424"/>
      <c r="D1" s="425">
        <f>+'Page 1 - FY2014-15'!B5</f>
        <v>0</v>
      </c>
      <c r="G1" s="427"/>
      <c r="H1" s="427"/>
      <c r="I1" s="427"/>
      <c r="J1" s="138" t="s">
        <v>1586</v>
      </c>
      <c r="K1" s="428">
        <f>+'Page 1 - FY2014-15'!F7</f>
        <v>0</v>
      </c>
      <c r="L1" s="427"/>
      <c r="M1" s="427"/>
    </row>
    <row r="2" spans="2:14" x14ac:dyDescent="0.2">
      <c r="B2" s="429" t="s">
        <v>106</v>
      </c>
      <c r="C2" s="429"/>
      <c r="D2" s="429"/>
      <c r="E2" s="427"/>
      <c r="F2" s="427"/>
      <c r="G2" s="427"/>
      <c r="H2" s="427"/>
      <c r="I2" s="427"/>
      <c r="J2" s="427"/>
      <c r="K2" s="427"/>
      <c r="L2" s="427"/>
      <c r="M2" s="427"/>
    </row>
    <row r="3" spans="2:14" x14ac:dyDescent="0.2">
      <c r="B3" s="429" t="s">
        <v>1387</v>
      </c>
      <c r="C3" s="429"/>
      <c r="D3" s="429"/>
      <c r="E3" s="427"/>
      <c r="F3" s="427"/>
      <c r="G3" s="427"/>
      <c r="H3" s="427"/>
      <c r="I3" s="427"/>
      <c r="J3" s="427"/>
      <c r="K3" s="427"/>
      <c r="L3" s="427"/>
      <c r="M3" s="427"/>
    </row>
    <row r="4" spans="2:14" x14ac:dyDescent="0.2">
      <c r="B4" s="715" t="s">
        <v>1699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2:14" x14ac:dyDescent="0.2">
      <c r="B5" s="430" t="s">
        <v>1429</v>
      </c>
    </row>
    <row r="6" spans="2:14" x14ac:dyDescent="0.2">
      <c r="B6" s="430" t="s">
        <v>1430</v>
      </c>
    </row>
    <row r="7" spans="2:14" x14ac:dyDescent="0.2">
      <c r="B7" s="430" t="s">
        <v>1431</v>
      </c>
    </row>
    <row r="8" spans="2:14" x14ac:dyDescent="0.2">
      <c r="B8" s="430" t="s">
        <v>1445</v>
      </c>
    </row>
    <row r="9" spans="2:14" x14ac:dyDescent="0.2">
      <c r="B9" s="430" t="s">
        <v>1446</v>
      </c>
    </row>
    <row r="11" spans="2:14" x14ac:dyDescent="0.2">
      <c r="B11" s="431" t="s">
        <v>1368</v>
      </c>
      <c r="C11" s="431" t="s">
        <v>1369</v>
      </c>
      <c r="D11" s="432">
        <v>0</v>
      </c>
    </row>
    <row r="12" spans="2:14" x14ac:dyDescent="0.2">
      <c r="B12" s="431" t="s">
        <v>1370</v>
      </c>
      <c r="C12" s="431" t="s">
        <v>1371</v>
      </c>
      <c r="D12" s="432">
        <v>0</v>
      </c>
      <c r="F12" s="637" t="s">
        <v>1485</v>
      </c>
    </row>
    <row r="13" spans="2:14" x14ac:dyDescent="0.2">
      <c r="B13" s="431" t="s">
        <v>1372</v>
      </c>
      <c r="C13" s="431" t="s">
        <v>1373</v>
      </c>
      <c r="D13" s="432">
        <v>0</v>
      </c>
    </row>
    <row r="14" spans="2:14" ht="13.5" thickBot="1" x14ac:dyDescent="0.25">
      <c r="B14" s="431" t="s">
        <v>1374</v>
      </c>
      <c r="C14" s="431" t="s">
        <v>1375</v>
      </c>
      <c r="D14" s="432">
        <v>0</v>
      </c>
    </row>
    <row r="15" spans="2:14" ht="13.5" thickTop="1" x14ac:dyDescent="0.2">
      <c r="B15" s="625"/>
      <c r="C15" s="626">
        <v>1</v>
      </c>
      <c r="D15" s="627">
        <v>2</v>
      </c>
      <c r="E15" s="626">
        <v>3</v>
      </c>
      <c r="F15" s="626">
        <v>4</v>
      </c>
      <c r="G15" s="626">
        <v>5</v>
      </c>
      <c r="H15" s="626">
        <v>6</v>
      </c>
      <c r="I15" s="626">
        <v>7</v>
      </c>
      <c r="J15" s="626">
        <v>8</v>
      </c>
      <c r="K15" s="626">
        <v>9</v>
      </c>
      <c r="L15" s="626">
        <v>10</v>
      </c>
      <c r="M15" s="626">
        <v>11</v>
      </c>
      <c r="N15" s="628">
        <v>12</v>
      </c>
    </row>
    <row r="16" spans="2:14" x14ac:dyDescent="0.2">
      <c r="B16" s="629"/>
      <c r="C16" s="630" t="s">
        <v>1376</v>
      </c>
      <c r="D16" s="630" t="s">
        <v>1377</v>
      </c>
      <c r="E16" s="630" t="s">
        <v>1378</v>
      </c>
      <c r="F16" s="630" t="s">
        <v>1379</v>
      </c>
      <c r="G16" s="630" t="s">
        <v>1380</v>
      </c>
      <c r="H16" s="630" t="s">
        <v>1381</v>
      </c>
      <c r="I16" s="630" t="s">
        <v>1382</v>
      </c>
      <c r="J16" s="630" t="s">
        <v>1383</v>
      </c>
      <c r="K16" s="630" t="s">
        <v>1384</v>
      </c>
      <c r="L16" s="630" t="s">
        <v>1385</v>
      </c>
      <c r="M16" s="630" t="s">
        <v>1386</v>
      </c>
      <c r="N16" s="631" t="s">
        <v>885</v>
      </c>
    </row>
    <row r="17" spans="2:14" x14ac:dyDescent="0.2">
      <c r="B17" s="629">
        <v>0</v>
      </c>
      <c r="C17" s="632">
        <f>+$D$11</f>
        <v>0</v>
      </c>
      <c r="D17" s="632">
        <f t="shared" ref="D17:M17" si="0">+C17+$D$13</f>
        <v>0</v>
      </c>
      <c r="E17" s="632">
        <f t="shared" si="0"/>
        <v>0</v>
      </c>
      <c r="F17" s="632">
        <f t="shared" si="0"/>
        <v>0</v>
      </c>
      <c r="G17" s="632">
        <f t="shared" si="0"/>
        <v>0</v>
      </c>
      <c r="H17" s="632">
        <f t="shared" si="0"/>
        <v>0</v>
      </c>
      <c r="I17" s="632">
        <f t="shared" si="0"/>
        <v>0</v>
      </c>
      <c r="J17" s="632">
        <f t="shared" si="0"/>
        <v>0</v>
      </c>
      <c r="K17" s="632">
        <f t="shared" si="0"/>
        <v>0</v>
      </c>
      <c r="L17" s="632">
        <f t="shared" si="0"/>
        <v>0</v>
      </c>
      <c r="M17" s="632">
        <f t="shared" si="0"/>
        <v>0</v>
      </c>
      <c r="N17" s="633">
        <f>+M17+$D$13</f>
        <v>0</v>
      </c>
    </row>
    <row r="18" spans="2:14" x14ac:dyDescent="0.2">
      <c r="B18" s="629">
        <v>1</v>
      </c>
      <c r="C18" s="632">
        <f t="shared" ref="C18:C47" si="1">+C17+$D$12</f>
        <v>0</v>
      </c>
      <c r="D18" s="632">
        <f t="shared" ref="D18:D26" si="2">+D17+$D$12</f>
        <v>0</v>
      </c>
      <c r="E18" s="632">
        <f t="shared" ref="E18:E26" si="3">+E17+$D$12</f>
        <v>0</v>
      </c>
      <c r="F18" s="632">
        <f t="shared" ref="F18:F26" si="4">+F17+$D$12</f>
        <v>0</v>
      </c>
      <c r="G18" s="632">
        <f t="shared" ref="G18:G26" si="5">+G17+$D$12</f>
        <v>0</v>
      </c>
      <c r="H18" s="632">
        <f t="shared" ref="H18:H42" si="6">+H17+$D$14</f>
        <v>0</v>
      </c>
      <c r="I18" s="632">
        <f t="shared" ref="I18:I42" si="7">+I17+$D$14</f>
        <v>0</v>
      </c>
      <c r="J18" s="632">
        <f t="shared" ref="J18:J42" si="8">+J17+$D$14</f>
        <v>0</v>
      </c>
      <c r="K18" s="632">
        <f t="shared" ref="K18:K42" si="9">+K17+$D$14</f>
        <v>0</v>
      </c>
      <c r="L18" s="632">
        <f t="shared" ref="L18:L42" si="10">+L17+$D$14</f>
        <v>0</v>
      </c>
      <c r="M18" s="632">
        <f t="shared" ref="M18:N42" si="11">+M17+$D$14</f>
        <v>0</v>
      </c>
      <c r="N18" s="633">
        <f t="shared" si="11"/>
        <v>0</v>
      </c>
    </row>
    <row r="19" spans="2:14" x14ac:dyDescent="0.2">
      <c r="B19" s="629">
        <v>2</v>
      </c>
      <c r="C19" s="632">
        <f t="shared" si="1"/>
        <v>0</v>
      </c>
      <c r="D19" s="632">
        <f t="shared" si="2"/>
        <v>0</v>
      </c>
      <c r="E19" s="632">
        <f t="shared" si="3"/>
        <v>0</v>
      </c>
      <c r="F19" s="632">
        <f t="shared" si="4"/>
        <v>0</v>
      </c>
      <c r="G19" s="632">
        <f t="shared" si="5"/>
        <v>0</v>
      </c>
      <c r="H19" s="632">
        <f t="shared" si="6"/>
        <v>0</v>
      </c>
      <c r="I19" s="632">
        <f t="shared" si="7"/>
        <v>0</v>
      </c>
      <c r="J19" s="632">
        <f t="shared" si="8"/>
        <v>0</v>
      </c>
      <c r="K19" s="632">
        <f t="shared" si="9"/>
        <v>0</v>
      </c>
      <c r="L19" s="632">
        <f t="shared" si="10"/>
        <v>0</v>
      </c>
      <c r="M19" s="632">
        <f t="shared" si="11"/>
        <v>0</v>
      </c>
      <c r="N19" s="633">
        <f t="shared" si="11"/>
        <v>0</v>
      </c>
    </row>
    <row r="20" spans="2:14" x14ac:dyDescent="0.2">
      <c r="B20" s="629">
        <v>3</v>
      </c>
      <c r="C20" s="632">
        <f t="shared" si="1"/>
        <v>0</v>
      </c>
      <c r="D20" s="632">
        <f t="shared" si="2"/>
        <v>0</v>
      </c>
      <c r="E20" s="632">
        <f t="shared" si="3"/>
        <v>0</v>
      </c>
      <c r="F20" s="632">
        <f t="shared" si="4"/>
        <v>0</v>
      </c>
      <c r="G20" s="632">
        <f t="shared" si="5"/>
        <v>0</v>
      </c>
      <c r="H20" s="632">
        <f t="shared" si="6"/>
        <v>0</v>
      </c>
      <c r="I20" s="632">
        <f t="shared" si="7"/>
        <v>0</v>
      </c>
      <c r="J20" s="632">
        <f t="shared" si="8"/>
        <v>0</v>
      </c>
      <c r="K20" s="632">
        <f t="shared" si="9"/>
        <v>0</v>
      </c>
      <c r="L20" s="632">
        <f t="shared" si="10"/>
        <v>0</v>
      </c>
      <c r="M20" s="632">
        <f t="shared" si="11"/>
        <v>0</v>
      </c>
      <c r="N20" s="633">
        <f t="shared" si="11"/>
        <v>0</v>
      </c>
    </row>
    <row r="21" spans="2:14" x14ac:dyDescent="0.2">
      <c r="B21" s="629">
        <v>4</v>
      </c>
      <c r="C21" s="632">
        <f t="shared" si="1"/>
        <v>0</v>
      </c>
      <c r="D21" s="632">
        <f t="shared" si="2"/>
        <v>0</v>
      </c>
      <c r="E21" s="632">
        <f t="shared" si="3"/>
        <v>0</v>
      </c>
      <c r="F21" s="632">
        <f t="shared" si="4"/>
        <v>0</v>
      </c>
      <c r="G21" s="632">
        <f t="shared" si="5"/>
        <v>0</v>
      </c>
      <c r="H21" s="632">
        <f t="shared" si="6"/>
        <v>0</v>
      </c>
      <c r="I21" s="632">
        <f t="shared" si="7"/>
        <v>0</v>
      </c>
      <c r="J21" s="632">
        <f t="shared" si="8"/>
        <v>0</v>
      </c>
      <c r="K21" s="632">
        <f t="shared" si="9"/>
        <v>0</v>
      </c>
      <c r="L21" s="632">
        <f t="shared" si="10"/>
        <v>0</v>
      </c>
      <c r="M21" s="632">
        <f t="shared" si="11"/>
        <v>0</v>
      </c>
      <c r="N21" s="633">
        <f t="shared" si="11"/>
        <v>0</v>
      </c>
    </row>
    <row r="22" spans="2:14" x14ac:dyDescent="0.2">
      <c r="B22" s="629">
        <v>5</v>
      </c>
      <c r="C22" s="632">
        <f t="shared" si="1"/>
        <v>0</v>
      </c>
      <c r="D22" s="632">
        <f t="shared" si="2"/>
        <v>0</v>
      </c>
      <c r="E22" s="632">
        <f t="shared" si="3"/>
        <v>0</v>
      </c>
      <c r="F22" s="632">
        <f t="shared" si="4"/>
        <v>0</v>
      </c>
      <c r="G22" s="632">
        <f t="shared" si="5"/>
        <v>0</v>
      </c>
      <c r="H22" s="632">
        <f t="shared" si="6"/>
        <v>0</v>
      </c>
      <c r="I22" s="632">
        <f t="shared" si="7"/>
        <v>0</v>
      </c>
      <c r="J22" s="632">
        <f t="shared" si="8"/>
        <v>0</v>
      </c>
      <c r="K22" s="632">
        <f t="shared" si="9"/>
        <v>0</v>
      </c>
      <c r="L22" s="632">
        <f t="shared" si="10"/>
        <v>0</v>
      </c>
      <c r="M22" s="632">
        <f t="shared" si="11"/>
        <v>0</v>
      </c>
      <c r="N22" s="633">
        <f t="shared" si="11"/>
        <v>0</v>
      </c>
    </row>
    <row r="23" spans="2:14" x14ac:dyDescent="0.2">
      <c r="B23" s="629">
        <v>6</v>
      </c>
      <c r="C23" s="632">
        <f t="shared" si="1"/>
        <v>0</v>
      </c>
      <c r="D23" s="632">
        <f t="shared" si="2"/>
        <v>0</v>
      </c>
      <c r="E23" s="632">
        <f t="shared" si="3"/>
        <v>0</v>
      </c>
      <c r="F23" s="632">
        <f t="shared" si="4"/>
        <v>0</v>
      </c>
      <c r="G23" s="632">
        <f t="shared" si="5"/>
        <v>0</v>
      </c>
      <c r="H23" s="632">
        <f t="shared" si="6"/>
        <v>0</v>
      </c>
      <c r="I23" s="632">
        <f t="shared" si="7"/>
        <v>0</v>
      </c>
      <c r="J23" s="632">
        <f t="shared" si="8"/>
        <v>0</v>
      </c>
      <c r="K23" s="632">
        <f t="shared" si="9"/>
        <v>0</v>
      </c>
      <c r="L23" s="632">
        <f t="shared" si="10"/>
        <v>0</v>
      </c>
      <c r="M23" s="632">
        <f t="shared" si="11"/>
        <v>0</v>
      </c>
      <c r="N23" s="633">
        <f t="shared" si="11"/>
        <v>0</v>
      </c>
    </row>
    <row r="24" spans="2:14" x14ac:dyDescent="0.2">
      <c r="B24" s="629">
        <v>7</v>
      </c>
      <c r="C24" s="632">
        <f t="shared" si="1"/>
        <v>0</v>
      </c>
      <c r="D24" s="632">
        <f t="shared" si="2"/>
        <v>0</v>
      </c>
      <c r="E24" s="632">
        <f t="shared" si="3"/>
        <v>0</v>
      </c>
      <c r="F24" s="632">
        <f t="shared" si="4"/>
        <v>0</v>
      </c>
      <c r="G24" s="632">
        <f t="shared" si="5"/>
        <v>0</v>
      </c>
      <c r="H24" s="632">
        <f t="shared" si="6"/>
        <v>0</v>
      </c>
      <c r="I24" s="632">
        <f t="shared" si="7"/>
        <v>0</v>
      </c>
      <c r="J24" s="632">
        <f t="shared" si="8"/>
        <v>0</v>
      </c>
      <c r="K24" s="632">
        <f t="shared" si="9"/>
        <v>0</v>
      </c>
      <c r="L24" s="632">
        <f t="shared" si="10"/>
        <v>0</v>
      </c>
      <c r="M24" s="632">
        <f t="shared" si="11"/>
        <v>0</v>
      </c>
      <c r="N24" s="633">
        <f t="shared" si="11"/>
        <v>0</v>
      </c>
    </row>
    <row r="25" spans="2:14" x14ac:dyDescent="0.2">
      <c r="B25" s="629">
        <v>8</v>
      </c>
      <c r="C25" s="632">
        <f t="shared" si="1"/>
        <v>0</v>
      </c>
      <c r="D25" s="632">
        <f t="shared" si="2"/>
        <v>0</v>
      </c>
      <c r="E25" s="632">
        <f t="shared" si="3"/>
        <v>0</v>
      </c>
      <c r="F25" s="632">
        <f t="shared" si="4"/>
        <v>0</v>
      </c>
      <c r="G25" s="632">
        <f t="shared" si="5"/>
        <v>0</v>
      </c>
      <c r="H25" s="632">
        <f t="shared" si="6"/>
        <v>0</v>
      </c>
      <c r="I25" s="632">
        <f t="shared" si="7"/>
        <v>0</v>
      </c>
      <c r="J25" s="632">
        <f t="shared" si="8"/>
        <v>0</v>
      </c>
      <c r="K25" s="632">
        <f t="shared" si="9"/>
        <v>0</v>
      </c>
      <c r="L25" s="632">
        <f t="shared" si="10"/>
        <v>0</v>
      </c>
      <c r="M25" s="632">
        <f t="shared" si="11"/>
        <v>0</v>
      </c>
      <c r="N25" s="633">
        <f t="shared" si="11"/>
        <v>0</v>
      </c>
    </row>
    <row r="26" spans="2:14" x14ac:dyDescent="0.2">
      <c r="B26" s="629">
        <v>9</v>
      </c>
      <c r="C26" s="632">
        <f t="shared" si="1"/>
        <v>0</v>
      </c>
      <c r="D26" s="632">
        <f t="shared" si="2"/>
        <v>0</v>
      </c>
      <c r="E26" s="632">
        <f t="shared" si="3"/>
        <v>0</v>
      </c>
      <c r="F26" s="632">
        <f t="shared" si="4"/>
        <v>0</v>
      </c>
      <c r="G26" s="632">
        <f t="shared" si="5"/>
        <v>0</v>
      </c>
      <c r="H26" s="632">
        <f t="shared" si="6"/>
        <v>0</v>
      </c>
      <c r="I26" s="632">
        <f t="shared" si="7"/>
        <v>0</v>
      </c>
      <c r="J26" s="632">
        <f t="shared" si="8"/>
        <v>0</v>
      </c>
      <c r="K26" s="632">
        <f t="shared" si="9"/>
        <v>0</v>
      </c>
      <c r="L26" s="632">
        <f t="shared" si="10"/>
        <v>0</v>
      </c>
      <c r="M26" s="632">
        <f t="shared" si="11"/>
        <v>0</v>
      </c>
      <c r="N26" s="633">
        <f t="shared" si="11"/>
        <v>0</v>
      </c>
    </row>
    <row r="27" spans="2:14" x14ac:dyDescent="0.2">
      <c r="B27" s="629">
        <v>10</v>
      </c>
      <c r="C27" s="632">
        <f t="shared" si="1"/>
        <v>0</v>
      </c>
      <c r="D27" s="632">
        <f t="shared" ref="D27:G28" si="12">+D26+$D$12</f>
        <v>0</v>
      </c>
      <c r="E27" s="632">
        <f t="shared" si="12"/>
        <v>0</v>
      </c>
      <c r="F27" s="632">
        <f t="shared" si="12"/>
        <v>0</v>
      </c>
      <c r="G27" s="632">
        <f t="shared" si="12"/>
        <v>0</v>
      </c>
      <c r="H27" s="632">
        <f t="shared" si="6"/>
        <v>0</v>
      </c>
      <c r="I27" s="632">
        <f t="shared" si="7"/>
        <v>0</v>
      </c>
      <c r="J27" s="632">
        <f t="shared" si="8"/>
        <v>0</v>
      </c>
      <c r="K27" s="632">
        <f t="shared" si="9"/>
        <v>0</v>
      </c>
      <c r="L27" s="632">
        <f t="shared" si="10"/>
        <v>0</v>
      </c>
      <c r="M27" s="632">
        <f t="shared" si="11"/>
        <v>0</v>
      </c>
      <c r="N27" s="633">
        <f t="shared" si="11"/>
        <v>0</v>
      </c>
    </row>
    <row r="28" spans="2:14" x14ac:dyDescent="0.2">
      <c r="B28" s="629">
        <v>11</v>
      </c>
      <c r="C28" s="632">
        <f t="shared" si="1"/>
        <v>0</v>
      </c>
      <c r="D28" s="632">
        <f t="shared" si="12"/>
        <v>0</v>
      </c>
      <c r="E28" s="632">
        <f t="shared" si="12"/>
        <v>0</v>
      </c>
      <c r="F28" s="632">
        <f t="shared" si="12"/>
        <v>0</v>
      </c>
      <c r="G28" s="632">
        <f t="shared" si="12"/>
        <v>0</v>
      </c>
      <c r="H28" s="632">
        <f t="shared" si="6"/>
        <v>0</v>
      </c>
      <c r="I28" s="632">
        <f t="shared" si="7"/>
        <v>0</v>
      </c>
      <c r="J28" s="632">
        <f t="shared" si="8"/>
        <v>0</v>
      </c>
      <c r="K28" s="632">
        <f t="shared" si="9"/>
        <v>0</v>
      </c>
      <c r="L28" s="632">
        <f t="shared" si="10"/>
        <v>0</v>
      </c>
      <c r="M28" s="632">
        <f t="shared" si="11"/>
        <v>0</v>
      </c>
      <c r="N28" s="633">
        <f t="shared" si="11"/>
        <v>0</v>
      </c>
    </row>
    <row r="29" spans="2:14" x14ac:dyDescent="0.2">
      <c r="B29" s="629">
        <v>12</v>
      </c>
      <c r="C29" s="632">
        <f t="shared" si="1"/>
        <v>0</v>
      </c>
      <c r="D29" s="632">
        <f t="shared" ref="D29:D47" si="13">+D28+$D$12</f>
        <v>0</v>
      </c>
      <c r="E29" s="632">
        <f t="shared" ref="E29:G44" si="14">+E28+$D$12</f>
        <v>0</v>
      </c>
      <c r="F29" s="632">
        <f t="shared" si="14"/>
        <v>0</v>
      </c>
      <c r="G29" s="632">
        <f t="shared" si="14"/>
        <v>0</v>
      </c>
      <c r="H29" s="632">
        <f t="shared" si="6"/>
        <v>0</v>
      </c>
      <c r="I29" s="632">
        <f t="shared" si="7"/>
        <v>0</v>
      </c>
      <c r="J29" s="632">
        <f t="shared" si="8"/>
        <v>0</v>
      </c>
      <c r="K29" s="632">
        <f t="shared" si="9"/>
        <v>0</v>
      </c>
      <c r="L29" s="632">
        <f t="shared" si="10"/>
        <v>0</v>
      </c>
      <c r="M29" s="632">
        <f t="shared" si="11"/>
        <v>0</v>
      </c>
      <c r="N29" s="633">
        <f t="shared" si="11"/>
        <v>0</v>
      </c>
    </row>
    <row r="30" spans="2:14" x14ac:dyDescent="0.2">
      <c r="B30" s="629">
        <v>13</v>
      </c>
      <c r="C30" s="632">
        <f t="shared" si="1"/>
        <v>0</v>
      </c>
      <c r="D30" s="632">
        <f t="shared" si="13"/>
        <v>0</v>
      </c>
      <c r="E30" s="632">
        <f t="shared" si="14"/>
        <v>0</v>
      </c>
      <c r="F30" s="632">
        <f t="shared" si="14"/>
        <v>0</v>
      </c>
      <c r="G30" s="632">
        <f t="shared" si="14"/>
        <v>0</v>
      </c>
      <c r="H30" s="632">
        <f t="shared" si="6"/>
        <v>0</v>
      </c>
      <c r="I30" s="632">
        <f t="shared" si="7"/>
        <v>0</v>
      </c>
      <c r="J30" s="632">
        <f t="shared" si="8"/>
        <v>0</v>
      </c>
      <c r="K30" s="632">
        <f t="shared" si="9"/>
        <v>0</v>
      </c>
      <c r="L30" s="632">
        <f t="shared" si="10"/>
        <v>0</v>
      </c>
      <c r="M30" s="632">
        <f t="shared" si="11"/>
        <v>0</v>
      </c>
      <c r="N30" s="633">
        <f t="shared" si="11"/>
        <v>0</v>
      </c>
    </row>
    <row r="31" spans="2:14" x14ac:dyDescent="0.2">
      <c r="B31" s="629">
        <v>14</v>
      </c>
      <c r="C31" s="632">
        <f t="shared" si="1"/>
        <v>0</v>
      </c>
      <c r="D31" s="632">
        <f t="shared" si="13"/>
        <v>0</v>
      </c>
      <c r="E31" s="632">
        <f t="shared" si="14"/>
        <v>0</v>
      </c>
      <c r="F31" s="632">
        <f t="shared" si="14"/>
        <v>0</v>
      </c>
      <c r="G31" s="632">
        <f t="shared" si="14"/>
        <v>0</v>
      </c>
      <c r="H31" s="632">
        <f t="shared" si="6"/>
        <v>0</v>
      </c>
      <c r="I31" s="632">
        <f t="shared" si="7"/>
        <v>0</v>
      </c>
      <c r="J31" s="632">
        <f t="shared" si="8"/>
        <v>0</v>
      </c>
      <c r="K31" s="632">
        <f t="shared" si="9"/>
        <v>0</v>
      </c>
      <c r="L31" s="632">
        <f t="shared" si="10"/>
        <v>0</v>
      </c>
      <c r="M31" s="632">
        <f t="shared" si="11"/>
        <v>0</v>
      </c>
      <c r="N31" s="633">
        <f t="shared" si="11"/>
        <v>0</v>
      </c>
    </row>
    <row r="32" spans="2:14" x14ac:dyDescent="0.2">
      <c r="B32" s="629">
        <v>15</v>
      </c>
      <c r="C32" s="632">
        <f t="shared" si="1"/>
        <v>0</v>
      </c>
      <c r="D32" s="632">
        <f t="shared" si="13"/>
        <v>0</v>
      </c>
      <c r="E32" s="632">
        <f t="shared" si="14"/>
        <v>0</v>
      </c>
      <c r="F32" s="632">
        <f t="shared" si="14"/>
        <v>0</v>
      </c>
      <c r="G32" s="632">
        <f t="shared" si="14"/>
        <v>0</v>
      </c>
      <c r="H32" s="632">
        <f t="shared" si="6"/>
        <v>0</v>
      </c>
      <c r="I32" s="632">
        <f t="shared" si="7"/>
        <v>0</v>
      </c>
      <c r="J32" s="632">
        <f t="shared" si="8"/>
        <v>0</v>
      </c>
      <c r="K32" s="632">
        <f t="shared" si="9"/>
        <v>0</v>
      </c>
      <c r="L32" s="632">
        <f t="shared" si="10"/>
        <v>0</v>
      </c>
      <c r="M32" s="632">
        <f t="shared" si="11"/>
        <v>0</v>
      </c>
      <c r="N32" s="633">
        <f t="shared" si="11"/>
        <v>0</v>
      </c>
    </row>
    <row r="33" spans="2:14" x14ac:dyDescent="0.2">
      <c r="B33" s="629">
        <v>16</v>
      </c>
      <c r="C33" s="632">
        <f t="shared" si="1"/>
        <v>0</v>
      </c>
      <c r="D33" s="632">
        <f t="shared" si="13"/>
        <v>0</v>
      </c>
      <c r="E33" s="632">
        <f t="shared" si="14"/>
        <v>0</v>
      </c>
      <c r="F33" s="632">
        <f t="shared" si="14"/>
        <v>0</v>
      </c>
      <c r="G33" s="632">
        <f t="shared" si="14"/>
        <v>0</v>
      </c>
      <c r="H33" s="632">
        <f t="shared" si="6"/>
        <v>0</v>
      </c>
      <c r="I33" s="632">
        <f t="shared" si="7"/>
        <v>0</v>
      </c>
      <c r="J33" s="632">
        <f t="shared" si="8"/>
        <v>0</v>
      </c>
      <c r="K33" s="632">
        <f t="shared" si="9"/>
        <v>0</v>
      </c>
      <c r="L33" s="632">
        <f t="shared" si="10"/>
        <v>0</v>
      </c>
      <c r="M33" s="632">
        <f t="shared" si="11"/>
        <v>0</v>
      </c>
      <c r="N33" s="633">
        <f t="shared" si="11"/>
        <v>0</v>
      </c>
    </row>
    <row r="34" spans="2:14" x14ac:dyDescent="0.2">
      <c r="B34" s="629">
        <v>17</v>
      </c>
      <c r="C34" s="632">
        <f t="shared" si="1"/>
        <v>0</v>
      </c>
      <c r="D34" s="632">
        <f t="shared" si="13"/>
        <v>0</v>
      </c>
      <c r="E34" s="632">
        <f t="shared" si="14"/>
        <v>0</v>
      </c>
      <c r="F34" s="632">
        <f t="shared" ref="F34:G47" si="15">+F33+$D$12</f>
        <v>0</v>
      </c>
      <c r="G34" s="632">
        <f t="shared" si="15"/>
        <v>0</v>
      </c>
      <c r="H34" s="632">
        <f t="shared" si="6"/>
        <v>0</v>
      </c>
      <c r="I34" s="632">
        <f t="shared" si="7"/>
        <v>0</v>
      </c>
      <c r="J34" s="632">
        <f t="shared" si="8"/>
        <v>0</v>
      </c>
      <c r="K34" s="632">
        <f t="shared" si="9"/>
        <v>0</v>
      </c>
      <c r="L34" s="632">
        <f t="shared" si="10"/>
        <v>0</v>
      </c>
      <c r="M34" s="632">
        <f t="shared" si="11"/>
        <v>0</v>
      </c>
      <c r="N34" s="633">
        <f t="shared" si="11"/>
        <v>0</v>
      </c>
    </row>
    <row r="35" spans="2:14" x14ac:dyDescent="0.2">
      <c r="B35" s="629">
        <v>18</v>
      </c>
      <c r="C35" s="632">
        <f t="shared" si="1"/>
        <v>0</v>
      </c>
      <c r="D35" s="632">
        <f t="shared" si="13"/>
        <v>0</v>
      </c>
      <c r="E35" s="632">
        <f t="shared" si="14"/>
        <v>0</v>
      </c>
      <c r="F35" s="632">
        <f t="shared" si="15"/>
        <v>0</v>
      </c>
      <c r="G35" s="632">
        <f t="shared" si="15"/>
        <v>0</v>
      </c>
      <c r="H35" s="632">
        <f t="shared" si="6"/>
        <v>0</v>
      </c>
      <c r="I35" s="632">
        <f t="shared" si="7"/>
        <v>0</v>
      </c>
      <c r="J35" s="632">
        <f t="shared" si="8"/>
        <v>0</v>
      </c>
      <c r="K35" s="632">
        <f t="shared" si="9"/>
        <v>0</v>
      </c>
      <c r="L35" s="632">
        <f t="shared" si="10"/>
        <v>0</v>
      </c>
      <c r="M35" s="632">
        <f t="shared" si="11"/>
        <v>0</v>
      </c>
      <c r="N35" s="633">
        <f t="shared" si="11"/>
        <v>0</v>
      </c>
    </row>
    <row r="36" spans="2:14" x14ac:dyDescent="0.2">
      <c r="B36" s="629">
        <v>19</v>
      </c>
      <c r="C36" s="632">
        <f t="shared" si="1"/>
        <v>0</v>
      </c>
      <c r="D36" s="632">
        <f t="shared" si="13"/>
        <v>0</v>
      </c>
      <c r="E36" s="632">
        <f t="shared" si="14"/>
        <v>0</v>
      </c>
      <c r="F36" s="632">
        <f t="shared" si="15"/>
        <v>0</v>
      </c>
      <c r="G36" s="632">
        <f t="shared" si="15"/>
        <v>0</v>
      </c>
      <c r="H36" s="632">
        <f t="shared" si="6"/>
        <v>0</v>
      </c>
      <c r="I36" s="632">
        <f t="shared" si="7"/>
        <v>0</v>
      </c>
      <c r="J36" s="632">
        <f t="shared" si="8"/>
        <v>0</v>
      </c>
      <c r="K36" s="632">
        <f t="shared" si="9"/>
        <v>0</v>
      </c>
      <c r="L36" s="632">
        <f t="shared" si="10"/>
        <v>0</v>
      </c>
      <c r="M36" s="632">
        <f t="shared" si="11"/>
        <v>0</v>
      </c>
      <c r="N36" s="633">
        <f t="shared" si="11"/>
        <v>0</v>
      </c>
    </row>
    <row r="37" spans="2:14" x14ac:dyDescent="0.2">
      <c r="B37" s="629">
        <v>20</v>
      </c>
      <c r="C37" s="632">
        <f t="shared" si="1"/>
        <v>0</v>
      </c>
      <c r="D37" s="632">
        <f t="shared" si="13"/>
        <v>0</v>
      </c>
      <c r="E37" s="632">
        <f t="shared" si="14"/>
        <v>0</v>
      </c>
      <c r="F37" s="632">
        <f t="shared" si="15"/>
        <v>0</v>
      </c>
      <c r="G37" s="632">
        <f t="shared" ref="G37:G42" si="16">+G36+$D$12</f>
        <v>0</v>
      </c>
      <c r="H37" s="632">
        <f t="shared" si="6"/>
        <v>0</v>
      </c>
      <c r="I37" s="632">
        <f t="shared" si="7"/>
        <v>0</v>
      </c>
      <c r="J37" s="632">
        <f t="shared" si="8"/>
        <v>0</v>
      </c>
      <c r="K37" s="632">
        <f t="shared" si="9"/>
        <v>0</v>
      </c>
      <c r="L37" s="632">
        <f t="shared" si="10"/>
        <v>0</v>
      </c>
      <c r="M37" s="632">
        <f t="shared" si="11"/>
        <v>0</v>
      </c>
      <c r="N37" s="633">
        <f t="shared" si="11"/>
        <v>0</v>
      </c>
    </row>
    <row r="38" spans="2:14" x14ac:dyDescent="0.2">
      <c r="B38" s="629">
        <v>21</v>
      </c>
      <c r="C38" s="632">
        <f t="shared" si="1"/>
        <v>0</v>
      </c>
      <c r="D38" s="632">
        <f t="shared" si="13"/>
        <v>0</v>
      </c>
      <c r="E38" s="632">
        <f t="shared" si="14"/>
        <v>0</v>
      </c>
      <c r="F38" s="632">
        <f t="shared" si="15"/>
        <v>0</v>
      </c>
      <c r="G38" s="632">
        <f t="shared" si="16"/>
        <v>0</v>
      </c>
      <c r="H38" s="632">
        <f t="shared" si="6"/>
        <v>0</v>
      </c>
      <c r="I38" s="632">
        <f t="shared" si="7"/>
        <v>0</v>
      </c>
      <c r="J38" s="632">
        <f t="shared" si="8"/>
        <v>0</v>
      </c>
      <c r="K38" s="632">
        <f t="shared" si="9"/>
        <v>0</v>
      </c>
      <c r="L38" s="632">
        <f t="shared" si="10"/>
        <v>0</v>
      </c>
      <c r="M38" s="632">
        <f t="shared" si="11"/>
        <v>0</v>
      </c>
      <c r="N38" s="633">
        <f t="shared" si="11"/>
        <v>0</v>
      </c>
    </row>
    <row r="39" spans="2:14" x14ac:dyDescent="0.2">
      <c r="B39" s="629">
        <v>22</v>
      </c>
      <c r="C39" s="632">
        <f t="shared" si="1"/>
        <v>0</v>
      </c>
      <c r="D39" s="632">
        <f t="shared" si="13"/>
        <v>0</v>
      </c>
      <c r="E39" s="632">
        <f t="shared" si="14"/>
        <v>0</v>
      </c>
      <c r="F39" s="632">
        <f t="shared" si="15"/>
        <v>0</v>
      </c>
      <c r="G39" s="632">
        <f t="shared" si="16"/>
        <v>0</v>
      </c>
      <c r="H39" s="632">
        <f t="shared" si="6"/>
        <v>0</v>
      </c>
      <c r="I39" s="632">
        <f t="shared" si="7"/>
        <v>0</v>
      </c>
      <c r="J39" s="632">
        <f t="shared" si="8"/>
        <v>0</v>
      </c>
      <c r="K39" s="632">
        <f t="shared" si="9"/>
        <v>0</v>
      </c>
      <c r="L39" s="632">
        <f t="shared" si="10"/>
        <v>0</v>
      </c>
      <c r="M39" s="632">
        <f t="shared" si="11"/>
        <v>0</v>
      </c>
      <c r="N39" s="633">
        <f t="shared" si="11"/>
        <v>0</v>
      </c>
    </row>
    <row r="40" spans="2:14" x14ac:dyDescent="0.2">
      <c r="B40" s="629">
        <v>23</v>
      </c>
      <c r="C40" s="632">
        <f t="shared" si="1"/>
        <v>0</v>
      </c>
      <c r="D40" s="632">
        <f t="shared" si="13"/>
        <v>0</v>
      </c>
      <c r="E40" s="632">
        <f t="shared" si="14"/>
        <v>0</v>
      </c>
      <c r="F40" s="632">
        <f t="shared" si="15"/>
        <v>0</v>
      </c>
      <c r="G40" s="632">
        <f t="shared" si="16"/>
        <v>0</v>
      </c>
      <c r="H40" s="632">
        <f t="shared" si="6"/>
        <v>0</v>
      </c>
      <c r="I40" s="632">
        <f t="shared" si="7"/>
        <v>0</v>
      </c>
      <c r="J40" s="632">
        <f t="shared" si="8"/>
        <v>0</v>
      </c>
      <c r="K40" s="632">
        <f t="shared" si="9"/>
        <v>0</v>
      </c>
      <c r="L40" s="632">
        <f t="shared" si="10"/>
        <v>0</v>
      </c>
      <c r="M40" s="632">
        <f t="shared" si="11"/>
        <v>0</v>
      </c>
      <c r="N40" s="633">
        <f t="shared" si="11"/>
        <v>0</v>
      </c>
    </row>
    <row r="41" spans="2:14" x14ac:dyDescent="0.2">
      <c r="B41" s="629">
        <v>24</v>
      </c>
      <c r="C41" s="632">
        <f t="shared" si="1"/>
        <v>0</v>
      </c>
      <c r="D41" s="632">
        <f t="shared" si="13"/>
        <v>0</v>
      </c>
      <c r="E41" s="632">
        <f t="shared" si="14"/>
        <v>0</v>
      </c>
      <c r="F41" s="632">
        <f t="shared" si="15"/>
        <v>0</v>
      </c>
      <c r="G41" s="632">
        <f t="shared" si="16"/>
        <v>0</v>
      </c>
      <c r="H41" s="632">
        <f t="shared" si="6"/>
        <v>0</v>
      </c>
      <c r="I41" s="632">
        <f t="shared" si="7"/>
        <v>0</v>
      </c>
      <c r="J41" s="632">
        <f t="shared" si="8"/>
        <v>0</v>
      </c>
      <c r="K41" s="632">
        <f t="shared" si="9"/>
        <v>0</v>
      </c>
      <c r="L41" s="632">
        <f t="shared" si="10"/>
        <v>0</v>
      </c>
      <c r="M41" s="632">
        <f t="shared" si="11"/>
        <v>0</v>
      </c>
      <c r="N41" s="633">
        <f t="shared" si="11"/>
        <v>0</v>
      </c>
    </row>
    <row r="42" spans="2:14" x14ac:dyDescent="0.2">
      <c r="B42" s="629">
        <v>25</v>
      </c>
      <c r="C42" s="632">
        <f t="shared" si="1"/>
        <v>0</v>
      </c>
      <c r="D42" s="632">
        <f t="shared" si="13"/>
        <v>0</v>
      </c>
      <c r="E42" s="632">
        <f t="shared" si="14"/>
        <v>0</v>
      </c>
      <c r="F42" s="632">
        <f t="shared" si="15"/>
        <v>0</v>
      </c>
      <c r="G42" s="632">
        <f t="shared" si="16"/>
        <v>0</v>
      </c>
      <c r="H42" s="632">
        <f t="shared" si="6"/>
        <v>0</v>
      </c>
      <c r="I42" s="632">
        <f t="shared" si="7"/>
        <v>0</v>
      </c>
      <c r="J42" s="632">
        <f t="shared" si="8"/>
        <v>0</v>
      </c>
      <c r="K42" s="632">
        <f t="shared" si="9"/>
        <v>0</v>
      </c>
      <c r="L42" s="632">
        <f t="shared" si="10"/>
        <v>0</v>
      </c>
      <c r="M42" s="632">
        <f t="shared" si="11"/>
        <v>0</v>
      </c>
      <c r="N42" s="633">
        <f t="shared" si="11"/>
        <v>0</v>
      </c>
    </row>
    <row r="43" spans="2:14" x14ac:dyDescent="0.2">
      <c r="B43" s="629">
        <v>26</v>
      </c>
      <c r="C43" s="632">
        <f t="shared" si="1"/>
        <v>0</v>
      </c>
      <c r="D43" s="632">
        <f t="shared" si="13"/>
        <v>0</v>
      </c>
      <c r="E43" s="632">
        <f t="shared" si="14"/>
        <v>0</v>
      </c>
      <c r="F43" s="632">
        <f t="shared" si="15"/>
        <v>0</v>
      </c>
      <c r="G43" s="632">
        <f>+G42+$D$12</f>
        <v>0</v>
      </c>
      <c r="H43" s="632">
        <f t="shared" ref="H43:N47" si="17">+H42+$D$14</f>
        <v>0</v>
      </c>
      <c r="I43" s="632">
        <f t="shared" si="17"/>
        <v>0</v>
      </c>
      <c r="J43" s="632">
        <f t="shared" si="17"/>
        <v>0</v>
      </c>
      <c r="K43" s="632">
        <f t="shared" si="17"/>
        <v>0</v>
      </c>
      <c r="L43" s="632">
        <f t="shared" si="17"/>
        <v>0</v>
      </c>
      <c r="M43" s="632">
        <f t="shared" si="17"/>
        <v>0</v>
      </c>
      <c r="N43" s="633">
        <f t="shared" si="17"/>
        <v>0</v>
      </c>
    </row>
    <row r="44" spans="2:14" x14ac:dyDescent="0.2">
      <c r="B44" s="629">
        <v>27</v>
      </c>
      <c r="C44" s="632">
        <f t="shared" si="1"/>
        <v>0</v>
      </c>
      <c r="D44" s="632">
        <f t="shared" si="13"/>
        <v>0</v>
      </c>
      <c r="E44" s="632">
        <f t="shared" si="14"/>
        <v>0</v>
      </c>
      <c r="F44" s="632">
        <f t="shared" si="15"/>
        <v>0</v>
      </c>
      <c r="G44" s="632">
        <f>+G43+$D$12</f>
        <v>0</v>
      </c>
      <c r="H44" s="632">
        <f t="shared" si="17"/>
        <v>0</v>
      </c>
      <c r="I44" s="632">
        <f t="shared" si="17"/>
        <v>0</v>
      </c>
      <c r="J44" s="632">
        <f t="shared" si="17"/>
        <v>0</v>
      </c>
      <c r="K44" s="632">
        <f t="shared" si="17"/>
        <v>0</v>
      </c>
      <c r="L44" s="632">
        <f t="shared" si="17"/>
        <v>0</v>
      </c>
      <c r="M44" s="632">
        <f t="shared" si="17"/>
        <v>0</v>
      </c>
      <c r="N44" s="633">
        <f t="shared" si="17"/>
        <v>0</v>
      </c>
    </row>
    <row r="45" spans="2:14" x14ac:dyDescent="0.2">
      <c r="B45" s="629">
        <v>28</v>
      </c>
      <c r="C45" s="632">
        <f t="shared" si="1"/>
        <v>0</v>
      </c>
      <c r="D45" s="632">
        <f t="shared" si="13"/>
        <v>0</v>
      </c>
      <c r="E45" s="632">
        <f>+E44+$D$12</f>
        <v>0</v>
      </c>
      <c r="F45" s="632">
        <f t="shared" si="15"/>
        <v>0</v>
      </c>
      <c r="G45" s="632">
        <f>+G44+$D$12</f>
        <v>0</v>
      </c>
      <c r="H45" s="632">
        <f t="shared" si="17"/>
        <v>0</v>
      </c>
      <c r="I45" s="632">
        <f t="shared" si="17"/>
        <v>0</v>
      </c>
      <c r="J45" s="632">
        <f t="shared" si="17"/>
        <v>0</v>
      </c>
      <c r="K45" s="632">
        <f t="shared" si="17"/>
        <v>0</v>
      </c>
      <c r="L45" s="632">
        <f t="shared" si="17"/>
        <v>0</v>
      </c>
      <c r="M45" s="632">
        <f t="shared" si="17"/>
        <v>0</v>
      </c>
      <c r="N45" s="633">
        <f t="shared" si="17"/>
        <v>0</v>
      </c>
    </row>
    <row r="46" spans="2:14" x14ac:dyDescent="0.2">
      <c r="B46" s="629">
        <v>29</v>
      </c>
      <c r="C46" s="632">
        <f t="shared" si="1"/>
        <v>0</v>
      </c>
      <c r="D46" s="632">
        <f t="shared" si="13"/>
        <v>0</v>
      </c>
      <c r="E46" s="632">
        <f>+E45+$D$12</f>
        <v>0</v>
      </c>
      <c r="F46" s="632">
        <f t="shared" si="15"/>
        <v>0</v>
      </c>
      <c r="G46" s="632">
        <f>+G45+$D$12</f>
        <v>0</v>
      </c>
      <c r="H46" s="632">
        <f t="shared" si="17"/>
        <v>0</v>
      </c>
      <c r="I46" s="632">
        <f t="shared" si="17"/>
        <v>0</v>
      </c>
      <c r="J46" s="632">
        <f t="shared" si="17"/>
        <v>0</v>
      </c>
      <c r="K46" s="632">
        <f t="shared" si="17"/>
        <v>0</v>
      </c>
      <c r="L46" s="632">
        <f t="shared" si="17"/>
        <v>0</v>
      </c>
      <c r="M46" s="632">
        <f t="shared" si="17"/>
        <v>0</v>
      </c>
      <c r="N46" s="633">
        <f t="shared" si="17"/>
        <v>0</v>
      </c>
    </row>
    <row r="47" spans="2:14" ht="13.5" thickBot="1" x14ac:dyDescent="0.25">
      <c r="B47" s="634">
        <v>30</v>
      </c>
      <c r="C47" s="635">
        <f t="shared" si="1"/>
        <v>0</v>
      </c>
      <c r="D47" s="635">
        <f t="shared" si="13"/>
        <v>0</v>
      </c>
      <c r="E47" s="635">
        <f>+E46+$D$12</f>
        <v>0</v>
      </c>
      <c r="F47" s="635">
        <f t="shared" si="15"/>
        <v>0</v>
      </c>
      <c r="G47" s="635">
        <f>+G46+$D$12</f>
        <v>0</v>
      </c>
      <c r="H47" s="635">
        <f t="shared" si="17"/>
        <v>0</v>
      </c>
      <c r="I47" s="635">
        <f t="shared" si="17"/>
        <v>0</v>
      </c>
      <c r="J47" s="635">
        <f t="shared" si="17"/>
        <v>0</v>
      </c>
      <c r="K47" s="635">
        <f t="shared" si="17"/>
        <v>0</v>
      </c>
      <c r="L47" s="635">
        <f t="shared" si="17"/>
        <v>0</v>
      </c>
      <c r="M47" s="635">
        <f t="shared" si="17"/>
        <v>0</v>
      </c>
      <c r="N47" s="636">
        <f t="shared" si="17"/>
        <v>0</v>
      </c>
    </row>
    <row r="48" spans="2:14" ht="13.5" thickTop="1" x14ac:dyDescent="0.2"/>
  </sheetData>
  <phoneticPr fontId="2" type="noConversion"/>
  <pageMargins left="0.75" right="0.75" top="1" bottom="1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W53"/>
  <sheetViews>
    <sheetView workbookViewId="0">
      <selection activeCell="B7" sqref="B7"/>
    </sheetView>
  </sheetViews>
  <sheetFormatPr defaultRowHeight="10.5" x14ac:dyDescent="0.15"/>
  <cols>
    <col min="1" max="1" width="12.5" bestFit="1" customWidth="1"/>
    <col min="9" max="9" width="11.1640625" bestFit="1" customWidth="1"/>
    <col min="10" max="10" width="11.1640625" customWidth="1"/>
    <col min="20" max="20" width="11" bestFit="1" customWidth="1"/>
    <col min="22" max="22" width="11" bestFit="1" customWidth="1"/>
  </cols>
  <sheetData>
    <row r="1" spans="1:23" ht="12.75" x14ac:dyDescent="0.2">
      <c r="A1" s="423" t="s">
        <v>106</v>
      </c>
      <c r="B1" s="424"/>
      <c r="C1" s="425">
        <f>+'Page 1 - FY2014-15'!B5</f>
        <v>0</v>
      </c>
      <c r="D1" s="426"/>
      <c r="E1" s="426"/>
      <c r="F1" s="427"/>
      <c r="G1" s="427"/>
      <c r="H1" s="427"/>
      <c r="I1" s="138" t="s">
        <v>1586</v>
      </c>
      <c r="J1" s="138"/>
      <c r="K1" s="428">
        <f>+'Page 1 - FY2014-15'!F7</f>
        <v>0</v>
      </c>
      <c r="S1" s="376"/>
    </row>
    <row r="2" spans="1:23" ht="12.75" x14ac:dyDescent="0.2">
      <c r="A2" s="429" t="s">
        <v>106</v>
      </c>
      <c r="B2" s="429"/>
      <c r="C2" s="429"/>
      <c r="D2" s="427"/>
      <c r="E2" s="427"/>
      <c r="F2" s="427"/>
      <c r="G2" s="427"/>
      <c r="H2" s="427"/>
      <c r="I2" s="427"/>
      <c r="J2" s="427"/>
      <c r="K2" s="427"/>
    </row>
    <row r="3" spans="1:23" ht="12.75" x14ac:dyDescent="0.2">
      <c r="A3" s="429" t="s">
        <v>1071</v>
      </c>
      <c r="B3" s="429"/>
      <c r="C3" s="429"/>
      <c r="D3" s="427"/>
      <c r="E3" s="427"/>
      <c r="F3" s="427"/>
      <c r="G3" s="427"/>
      <c r="H3" s="427"/>
      <c r="I3" s="427"/>
      <c r="J3" s="427"/>
      <c r="K3" s="427"/>
    </row>
    <row r="4" spans="1:23" ht="12.75" x14ac:dyDescent="0.2">
      <c r="A4" s="715" t="s">
        <v>1699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23" ht="12.75" x14ac:dyDescent="0.2">
      <c r="B5" s="324" t="s">
        <v>1072</v>
      </c>
    </row>
    <row r="6" spans="1:23" x14ac:dyDescent="0.15">
      <c r="B6" s="188" t="s">
        <v>803</v>
      </c>
      <c r="C6" s="188" t="s">
        <v>804</v>
      </c>
      <c r="D6" s="188" t="s">
        <v>1087</v>
      </c>
      <c r="E6" s="188" t="s">
        <v>1323</v>
      </c>
      <c r="F6" s="188" t="s">
        <v>969</v>
      </c>
      <c r="G6" s="188" t="s">
        <v>1088</v>
      </c>
      <c r="H6" s="188" t="s">
        <v>1031</v>
      </c>
      <c r="I6" s="188" t="s">
        <v>467</v>
      </c>
      <c r="J6" s="188" t="s">
        <v>469</v>
      </c>
      <c r="K6" s="188" t="s">
        <v>470</v>
      </c>
      <c r="L6" s="188" t="s">
        <v>1089</v>
      </c>
      <c r="M6" s="188" t="s">
        <v>481</v>
      </c>
      <c r="N6" s="188" t="s">
        <v>491</v>
      </c>
      <c r="O6" s="188" t="s">
        <v>492</v>
      </c>
      <c r="P6" s="188" t="s">
        <v>493</v>
      </c>
      <c r="Q6" s="188" t="s">
        <v>1005</v>
      </c>
      <c r="R6" s="188" t="s">
        <v>1090</v>
      </c>
      <c r="S6" s="188" t="s">
        <v>1091</v>
      </c>
      <c r="T6" s="188" t="s">
        <v>1092</v>
      </c>
      <c r="U6" s="188" t="s">
        <v>1093</v>
      </c>
      <c r="V6" s="188" t="s">
        <v>1094</v>
      </c>
      <c r="W6" s="188" t="s">
        <v>401</v>
      </c>
    </row>
    <row r="7" spans="1:23" ht="12.75" x14ac:dyDescent="0.2">
      <c r="A7" s="324" t="s">
        <v>1073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x14ac:dyDescent="0.15">
      <c r="A8" s="188" t="s">
        <v>1424</v>
      </c>
      <c r="B8" s="188" t="s">
        <v>1424</v>
      </c>
      <c r="C8" s="188" t="s">
        <v>1424</v>
      </c>
      <c r="D8" s="188" t="s">
        <v>1110</v>
      </c>
      <c r="E8" s="188" t="s">
        <v>1110</v>
      </c>
      <c r="F8" s="188" t="s">
        <v>1424</v>
      </c>
      <c r="G8" s="188" t="s">
        <v>1110</v>
      </c>
      <c r="H8" s="188" t="s">
        <v>1424</v>
      </c>
      <c r="I8" s="188" t="s">
        <v>1110</v>
      </c>
      <c r="J8" s="188" t="s">
        <v>1424</v>
      </c>
      <c r="K8" s="188" t="s">
        <v>1110</v>
      </c>
      <c r="L8" s="188" t="s">
        <v>1110</v>
      </c>
      <c r="M8" s="188" t="s">
        <v>1110</v>
      </c>
      <c r="N8" s="188" t="s">
        <v>1110</v>
      </c>
      <c r="O8" s="188" t="s">
        <v>1110</v>
      </c>
      <c r="P8" s="188" t="s">
        <v>1110</v>
      </c>
      <c r="Q8" s="188" t="s">
        <v>1110</v>
      </c>
      <c r="R8" s="188" t="s">
        <v>1110</v>
      </c>
      <c r="S8" s="188" t="s">
        <v>1110</v>
      </c>
      <c r="T8" s="188" t="s">
        <v>1110</v>
      </c>
      <c r="U8" s="188" t="s">
        <v>1110</v>
      </c>
      <c r="V8" s="188" t="s">
        <v>1110</v>
      </c>
      <c r="W8" s="188" t="s">
        <v>1110</v>
      </c>
    </row>
    <row r="9" spans="1:23" x14ac:dyDescent="0.15">
      <c r="A9" s="188" t="s">
        <v>1573</v>
      </c>
      <c r="B9" s="188" t="s">
        <v>1573</v>
      </c>
      <c r="C9" s="188" t="s">
        <v>1573</v>
      </c>
      <c r="D9" s="188" t="s">
        <v>1110</v>
      </c>
      <c r="E9" s="188" t="s">
        <v>1110</v>
      </c>
      <c r="F9" s="188" t="s">
        <v>1573</v>
      </c>
      <c r="G9" s="188" t="s">
        <v>1110</v>
      </c>
      <c r="H9" s="188" t="s">
        <v>1573</v>
      </c>
      <c r="I9" s="188" t="s">
        <v>1110</v>
      </c>
      <c r="J9" s="188" t="s">
        <v>1110</v>
      </c>
      <c r="K9" s="188" t="s">
        <v>1110</v>
      </c>
      <c r="L9" s="188" t="s">
        <v>1110</v>
      </c>
      <c r="M9" s="188" t="s">
        <v>1110</v>
      </c>
      <c r="N9" s="188" t="s">
        <v>1110</v>
      </c>
      <c r="O9" s="188" t="s">
        <v>1110</v>
      </c>
      <c r="P9" s="188" t="s">
        <v>1110</v>
      </c>
      <c r="Q9" s="188" t="s">
        <v>1110</v>
      </c>
      <c r="R9" s="188" t="s">
        <v>1110</v>
      </c>
      <c r="S9" s="188" t="s">
        <v>1110</v>
      </c>
      <c r="T9" s="188" t="s">
        <v>1110</v>
      </c>
      <c r="U9" s="188" t="s">
        <v>1110</v>
      </c>
      <c r="V9" s="188" t="s">
        <v>1110</v>
      </c>
      <c r="W9" s="188" t="s">
        <v>1110</v>
      </c>
    </row>
    <row r="10" spans="1:23" x14ac:dyDescent="0.15">
      <c r="A10" s="188" t="s">
        <v>1074</v>
      </c>
      <c r="B10" s="188" t="s">
        <v>1074</v>
      </c>
      <c r="C10" s="188" t="s">
        <v>1074</v>
      </c>
      <c r="D10" s="188" t="s">
        <v>1110</v>
      </c>
      <c r="E10" s="188" t="s">
        <v>1110</v>
      </c>
      <c r="F10" s="188" t="s">
        <v>1110</v>
      </c>
      <c r="G10" s="188" t="s">
        <v>1110</v>
      </c>
      <c r="H10" s="188" t="s">
        <v>1110</v>
      </c>
      <c r="I10" s="188" t="s">
        <v>1110</v>
      </c>
      <c r="J10" s="188" t="s">
        <v>1110</v>
      </c>
      <c r="K10" s="188" t="s">
        <v>1110</v>
      </c>
      <c r="L10" s="188" t="s">
        <v>1110</v>
      </c>
      <c r="M10" s="188" t="s">
        <v>1110</v>
      </c>
      <c r="N10" s="188" t="s">
        <v>1110</v>
      </c>
      <c r="O10" s="188" t="s">
        <v>1110</v>
      </c>
      <c r="P10" s="188" t="s">
        <v>1110</v>
      </c>
      <c r="Q10" s="188" t="s">
        <v>1110</v>
      </c>
      <c r="R10" s="188" t="s">
        <v>1110</v>
      </c>
      <c r="S10" s="188" t="s">
        <v>1110</v>
      </c>
      <c r="T10" s="188" t="s">
        <v>1110</v>
      </c>
      <c r="U10" s="188" t="s">
        <v>1110</v>
      </c>
      <c r="V10" s="188" t="s">
        <v>1110</v>
      </c>
      <c r="W10" s="188" t="s">
        <v>1110</v>
      </c>
    </row>
    <row r="11" spans="1:23" x14ac:dyDescent="0.15">
      <c r="A11" s="188" t="s">
        <v>1425</v>
      </c>
      <c r="B11" s="188" t="s">
        <v>1425</v>
      </c>
      <c r="C11" s="188" t="s">
        <v>1425</v>
      </c>
      <c r="D11" s="188" t="s">
        <v>1110</v>
      </c>
      <c r="E11" s="188" t="s">
        <v>1425</v>
      </c>
      <c r="F11" s="188" t="s">
        <v>1110</v>
      </c>
      <c r="G11" s="188" t="s">
        <v>1110</v>
      </c>
      <c r="H11" s="188" t="s">
        <v>1110</v>
      </c>
      <c r="I11" s="188" t="s">
        <v>1110</v>
      </c>
      <c r="J11" s="188" t="s">
        <v>1110</v>
      </c>
      <c r="K11" s="188" t="s">
        <v>1110</v>
      </c>
      <c r="L11" s="188" t="s">
        <v>1110</v>
      </c>
      <c r="M11" s="188" t="s">
        <v>1110</v>
      </c>
      <c r="N11" s="188" t="s">
        <v>1110</v>
      </c>
      <c r="O11" s="188" t="s">
        <v>1110</v>
      </c>
      <c r="P11" s="188" t="s">
        <v>1110</v>
      </c>
      <c r="Q11" s="188" t="s">
        <v>1110</v>
      </c>
      <c r="R11" s="188" t="s">
        <v>1110</v>
      </c>
      <c r="S11" s="188" t="s">
        <v>1110</v>
      </c>
      <c r="T11" s="188" t="s">
        <v>1110</v>
      </c>
      <c r="U11" s="188" t="s">
        <v>1110</v>
      </c>
      <c r="V11" s="188" t="s">
        <v>1110</v>
      </c>
      <c r="W11" s="188" t="s">
        <v>1110</v>
      </c>
    </row>
    <row r="12" spans="1:23" x14ac:dyDescent="0.15">
      <c r="A12" s="188" t="s">
        <v>1030</v>
      </c>
      <c r="B12" s="188" t="s">
        <v>1030</v>
      </c>
      <c r="C12" s="188" t="s">
        <v>1030</v>
      </c>
      <c r="D12" s="188" t="s">
        <v>1110</v>
      </c>
      <c r="E12" s="188" t="s">
        <v>1110</v>
      </c>
      <c r="F12" s="188" t="s">
        <v>1110</v>
      </c>
      <c r="G12" s="188" t="s">
        <v>1110</v>
      </c>
      <c r="H12" s="188" t="s">
        <v>1110</v>
      </c>
      <c r="I12" s="188" t="s">
        <v>1110</v>
      </c>
      <c r="J12" s="188" t="s">
        <v>1110</v>
      </c>
      <c r="K12" s="188" t="s">
        <v>1110</v>
      </c>
      <c r="L12" s="188" t="s">
        <v>1110</v>
      </c>
      <c r="M12" s="188" t="s">
        <v>1110</v>
      </c>
      <c r="N12" s="188" t="s">
        <v>1110</v>
      </c>
      <c r="O12" s="188" t="s">
        <v>1110</v>
      </c>
      <c r="P12" s="188" t="s">
        <v>1110</v>
      </c>
      <c r="Q12" s="188" t="s">
        <v>1110</v>
      </c>
      <c r="R12" s="188" t="s">
        <v>1110</v>
      </c>
      <c r="S12" s="188" t="s">
        <v>1110</v>
      </c>
      <c r="T12" s="188" t="s">
        <v>1110</v>
      </c>
      <c r="U12" s="188" t="s">
        <v>1110</v>
      </c>
      <c r="V12" s="188" t="s">
        <v>1110</v>
      </c>
      <c r="W12" s="188" t="s">
        <v>1110</v>
      </c>
    </row>
    <row r="13" spans="1:23" x14ac:dyDescent="0.15">
      <c r="A13" s="188" t="s">
        <v>1075</v>
      </c>
      <c r="B13" s="188" t="s">
        <v>1075</v>
      </c>
      <c r="C13" s="188" t="s">
        <v>1075</v>
      </c>
      <c r="D13" s="188" t="s">
        <v>1110</v>
      </c>
      <c r="E13" s="188" t="s">
        <v>1110</v>
      </c>
      <c r="F13" s="188" t="s">
        <v>1110</v>
      </c>
      <c r="G13" s="188" t="s">
        <v>1110</v>
      </c>
      <c r="H13" s="188" t="s">
        <v>1110</v>
      </c>
      <c r="I13" s="188" t="s">
        <v>1110</v>
      </c>
      <c r="J13" s="188" t="s">
        <v>1110</v>
      </c>
      <c r="K13" s="188" t="s">
        <v>1110</v>
      </c>
      <c r="L13" s="188" t="s">
        <v>1110</v>
      </c>
      <c r="M13" s="188" t="s">
        <v>1110</v>
      </c>
      <c r="N13" s="188" t="s">
        <v>1110</v>
      </c>
      <c r="O13" s="188" t="s">
        <v>1110</v>
      </c>
      <c r="P13" s="188" t="s">
        <v>1110</v>
      </c>
      <c r="Q13" s="188" t="s">
        <v>1110</v>
      </c>
      <c r="R13" s="188" t="s">
        <v>1110</v>
      </c>
      <c r="S13" s="188" t="s">
        <v>1110</v>
      </c>
      <c r="T13" s="188" t="s">
        <v>1110</v>
      </c>
      <c r="U13" s="188" t="s">
        <v>1110</v>
      </c>
      <c r="V13" s="188" t="s">
        <v>1110</v>
      </c>
      <c r="W13" s="188" t="s">
        <v>1110</v>
      </c>
    </row>
    <row r="14" spans="1:23" x14ac:dyDescent="0.15">
      <c r="A14" s="188" t="s">
        <v>1419</v>
      </c>
      <c r="B14" s="188" t="s">
        <v>1419</v>
      </c>
      <c r="C14" s="188" t="s">
        <v>1419</v>
      </c>
      <c r="D14" s="188" t="s">
        <v>1110</v>
      </c>
      <c r="E14" s="188" t="s">
        <v>1110</v>
      </c>
      <c r="F14" s="188" t="s">
        <v>1419</v>
      </c>
      <c r="G14" s="188" t="s">
        <v>1110</v>
      </c>
      <c r="H14" s="188" t="s">
        <v>1419</v>
      </c>
      <c r="I14" s="188" t="s">
        <v>1110</v>
      </c>
      <c r="J14" s="188" t="s">
        <v>1110</v>
      </c>
      <c r="K14" s="188" t="s">
        <v>1110</v>
      </c>
      <c r="L14" s="188" t="s">
        <v>1110</v>
      </c>
      <c r="M14" s="188" t="s">
        <v>1110</v>
      </c>
      <c r="N14" s="188" t="s">
        <v>1110</v>
      </c>
      <c r="O14" s="188" t="s">
        <v>1110</v>
      </c>
      <c r="P14" s="188" t="s">
        <v>1110</v>
      </c>
      <c r="Q14" s="188" t="s">
        <v>1110</v>
      </c>
      <c r="R14" s="188" t="s">
        <v>1110</v>
      </c>
      <c r="S14" s="188" t="s">
        <v>1110</v>
      </c>
      <c r="T14" s="188" t="s">
        <v>1110</v>
      </c>
      <c r="U14" s="188" t="s">
        <v>1110</v>
      </c>
      <c r="V14" s="188" t="s">
        <v>1110</v>
      </c>
      <c r="W14" s="188" t="s">
        <v>1110</v>
      </c>
    </row>
    <row r="15" spans="1:23" x14ac:dyDescent="0.15">
      <c r="A15" s="188" t="s">
        <v>1076</v>
      </c>
      <c r="B15" s="188" t="s">
        <v>1076</v>
      </c>
      <c r="C15" s="188" t="s">
        <v>1076</v>
      </c>
      <c r="D15" s="188" t="s">
        <v>1110</v>
      </c>
      <c r="E15" s="188" t="s">
        <v>1110</v>
      </c>
      <c r="F15" s="188" t="s">
        <v>1110</v>
      </c>
      <c r="G15" s="188" t="s">
        <v>1110</v>
      </c>
      <c r="H15" s="188" t="s">
        <v>1110</v>
      </c>
      <c r="I15" s="188" t="s">
        <v>1110</v>
      </c>
      <c r="J15" s="188" t="s">
        <v>1110</v>
      </c>
      <c r="K15" s="188" t="s">
        <v>1110</v>
      </c>
      <c r="L15" s="188" t="s">
        <v>1110</v>
      </c>
      <c r="M15" s="188" t="s">
        <v>1110</v>
      </c>
      <c r="N15" s="188" t="s">
        <v>1110</v>
      </c>
      <c r="O15" s="188" t="s">
        <v>1110</v>
      </c>
      <c r="P15" s="188" t="s">
        <v>1110</v>
      </c>
      <c r="Q15" s="188" t="s">
        <v>1110</v>
      </c>
      <c r="R15" s="188" t="s">
        <v>1110</v>
      </c>
      <c r="S15" s="188" t="s">
        <v>1110</v>
      </c>
      <c r="T15" s="188" t="s">
        <v>1110</v>
      </c>
      <c r="U15" s="188" t="s">
        <v>1110</v>
      </c>
      <c r="V15" s="188" t="s">
        <v>1110</v>
      </c>
      <c r="W15" s="188" t="s">
        <v>1110</v>
      </c>
    </row>
    <row r="16" spans="1:23" x14ac:dyDescent="0.15">
      <c r="A16" s="188" t="s">
        <v>1077</v>
      </c>
      <c r="B16" s="188" t="s">
        <v>1077</v>
      </c>
      <c r="C16" s="188" t="s">
        <v>1077</v>
      </c>
      <c r="D16" s="188" t="s">
        <v>1110</v>
      </c>
      <c r="E16" s="188" t="s">
        <v>1110</v>
      </c>
      <c r="F16" s="188" t="s">
        <v>1110</v>
      </c>
      <c r="G16" s="188" t="s">
        <v>1110</v>
      </c>
      <c r="H16" s="188" t="s">
        <v>1110</v>
      </c>
      <c r="I16" s="188" t="s">
        <v>1110</v>
      </c>
      <c r="J16" s="188" t="s">
        <v>1110</v>
      </c>
      <c r="K16" s="188" t="s">
        <v>1110</v>
      </c>
      <c r="L16" s="188" t="s">
        <v>1110</v>
      </c>
      <c r="M16" s="188" t="s">
        <v>1110</v>
      </c>
      <c r="N16" s="188" t="s">
        <v>1110</v>
      </c>
      <c r="O16" s="188" t="s">
        <v>1110</v>
      </c>
      <c r="P16" s="188" t="s">
        <v>1110</v>
      </c>
      <c r="Q16" s="188" t="s">
        <v>1110</v>
      </c>
      <c r="R16" s="188" t="s">
        <v>1110</v>
      </c>
      <c r="S16" s="188" t="s">
        <v>1110</v>
      </c>
      <c r="T16" s="188" t="s">
        <v>1110</v>
      </c>
      <c r="U16" s="188" t="s">
        <v>1110</v>
      </c>
      <c r="V16" s="188" t="s">
        <v>1110</v>
      </c>
      <c r="W16" s="188" t="s">
        <v>1110</v>
      </c>
    </row>
    <row r="17" spans="1:23" x14ac:dyDescent="0.15">
      <c r="A17" s="188" t="s">
        <v>1078</v>
      </c>
      <c r="B17" s="188" t="s">
        <v>1078</v>
      </c>
      <c r="C17" s="188" t="s">
        <v>1078</v>
      </c>
      <c r="D17" s="188" t="s">
        <v>1110</v>
      </c>
      <c r="E17" s="188" t="s">
        <v>1110</v>
      </c>
      <c r="F17" s="188" t="s">
        <v>1110</v>
      </c>
      <c r="G17" s="188" t="s">
        <v>1110</v>
      </c>
      <c r="H17" s="188" t="s">
        <v>1110</v>
      </c>
      <c r="I17" s="188" t="s">
        <v>1110</v>
      </c>
      <c r="J17" s="188" t="s">
        <v>1110</v>
      </c>
      <c r="K17" s="188" t="s">
        <v>1110</v>
      </c>
      <c r="L17" s="188" t="s">
        <v>1110</v>
      </c>
      <c r="M17" s="188" t="s">
        <v>1110</v>
      </c>
      <c r="N17" s="188" t="s">
        <v>1110</v>
      </c>
      <c r="O17" s="188" t="s">
        <v>1110</v>
      </c>
      <c r="P17" s="188" t="s">
        <v>1110</v>
      </c>
      <c r="Q17" s="188" t="s">
        <v>1110</v>
      </c>
      <c r="R17" s="188" t="s">
        <v>1110</v>
      </c>
      <c r="S17" s="188" t="s">
        <v>1110</v>
      </c>
      <c r="T17" s="188" t="s">
        <v>1110</v>
      </c>
      <c r="U17" s="188" t="s">
        <v>1110</v>
      </c>
      <c r="V17" s="188" t="s">
        <v>1110</v>
      </c>
      <c r="W17" s="188" t="s">
        <v>1110</v>
      </c>
    </row>
    <row r="18" spans="1:23" x14ac:dyDescent="0.15">
      <c r="A18" s="188" t="s">
        <v>1577</v>
      </c>
      <c r="B18" s="188" t="s">
        <v>1577</v>
      </c>
      <c r="C18" s="188" t="s">
        <v>1577</v>
      </c>
      <c r="D18" s="188" t="s">
        <v>1110</v>
      </c>
      <c r="E18" s="188" t="s">
        <v>1110</v>
      </c>
      <c r="F18" s="188" t="s">
        <v>1110</v>
      </c>
      <c r="G18" s="188" t="s">
        <v>1110</v>
      </c>
      <c r="H18" s="188" t="s">
        <v>1110</v>
      </c>
      <c r="I18" s="188" t="s">
        <v>1110</v>
      </c>
      <c r="J18" s="188" t="s">
        <v>1110</v>
      </c>
      <c r="K18" s="188" t="s">
        <v>1110</v>
      </c>
      <c r="L18" s="188" t="s">
        <v>1110</v>
      </c>
      <c r="M18" s="188" t="s">
        <v>1110</v>
      </c>
      <c r="N18" s="188" t="s">
        <v>1110</v>
      </c>
      <c r="O18" s="188" t="s">
        <v>1110</v>
      </c>
      <c r="P18" s="188" t="s">
        <v>1110</v>
      </c>
      <c r="Q18" s="188" t="s">
        <v>1110</v>
      </c>
      <c r="R18" s="188" t="s">
        <v>1110</v>
      </c>
      <c r="S18" s="188" t="s">
        <v>1110</v>
      </c>
      <c r="T18" s="188" t="s">
        <v>1110</v>
      </c>
      <c r="U18" s="188" t="s">
        <v>1110</v>
      </c>
      <c r="V18" s="188" t="s">
        <v>1110</v>
      </c>
      <c r="W18" s="188" t="s">
        <v>1110</v>
      </c>
    </row>
    <row r="19" spans="1:23" x14ac:dyDescent="0.15">
      <c r="A19" s="188" t="s">
        <v>1578</v>
      </c>
      <c r="B19" s="188" t="s">
        <v>1578</v>
      </c>
      <c r="C19" s="188" t="s">
        <v>1578</v>
      </c>
      <c r="D19" s="188" t="s">
        <v>1110</v>
      </c>
      <c r="E19" s="188" t="s">
        <v>1110</v>
      </c>
      <c r="F19" s="188" t="s">
        <v>1110</v>
      </c>
      <c r="G19" s="188" t="s">
        <v>1110</v>
      </c>
      <c r="H19" s="188" t="s">
        <v>1110</v>
      </c>
      <c r="I19" s="188" t="s">
        <v>1110</v>
      </c>
      <c r="J19" s="188" t="s">
        <v>1110</v>
      </c>
      <c r="K19" s="188" t="s">
        <v>1110</v>
      </c>
      <c r="L19" s="188" t="s">
        <v>1110</v>
      </c>
      <c r="M19" s="188" t="s">
        <v>1110</v>
      </c>
      <c r="N19" s="188" t="s">
        <v>1110</v>
      </c>
      <c r="O19" s="188" t="s">
        <v>1110</v>
      </c>
      <c r="P19" s="188" t="s">
        <v>1110</v>
      </c>
      <c r="Q19" s="188" t="s">
        <v>1110</v>
      </c>
      <c r="R19" s="188" t="s">
        <v>1110</v>
      </c>
      <c r="S19" s="188" t="s">
        <v>1110</v>
      </c>
      <c r="T19" s="188" t="s">
        <v>1110</v>
      </c>
      <c r="U19" s="188" t="s">
        <v>1110</v>
      </c>
      <c r="V19" s="188" t="s">
        <v>1110</v>
      </c>
      <c r="W19" s="188" t="s">
        <v>1110</v>
      </c>
    </row>
    <row r="20" spans="1:23" x14ac:dyDescent="0.15">
      <c r="A20" s="188" t="s">
        <v>1579</v>
      </c>
      <c r="B20" s="188" t="s">
        <v>1579</v>
      </c>
      <c r="C20" s="188" t="s">
        <v>1579</v>
      </c>
      <c r="D20" s="188" t="s">
        <v>1110</v>
      </c>
      <c r="E20" s="188" t="s">
        <v>1110</v>
      </c>
      <c r="F20" s="188" t="s">
        <v>1110</v>
      </c>
      <c r="G20" s="188" t="s">
        <v>1110</v>
      </c>
      <c r="H20" s="188" t="s">
        <v>1110</v>
      </c>
      <c r="I20" s="188" t="s">
        <v>1110</v>
      </c>
      <c r="J20" s="188" t="s">
        <v>1110</v>
      </c>
      <c r="K20" s="188" t="s">
        <v>1110</v>
      </c>
      <c r="L20" s="188" t="s">
        <v>1110</v>
      </c>
      <c r="M20" s="188" t="s">
        <v>1110</v>
      </c>
      <c r="N20" s="188" t="s">
        <v>1110</v>
      </c>
      <c r="O20" s="188" t="s">
        <v>1110</v>
      </c>
      <c r="P20" s="188" t="s">
        <v>1110</v>
      </c>
      <c r="Q20" s="188" t="s">
        <v>1110</v>
      </c>
      <c r="R20" s="188" t="s">
        <v>1110</v>
      </c>
      <c r="S20" s="188" t="s">
        <v>1110</v>
      </c>
      <c r="T20" s="188" t="s">
        <v>1110</v>
      </c>
      <c r="U20" s="188" t="s">
        <v>1110</v>
      </c>
      <c r="V20" s="188" t="s">
        <v>1110</v>
      </c>
      <c r="W20" s="188" t="s">
        <v>1110</v>
      </c>
    </row>
    <row r="21" spans="1:23" x14ac:dyDescent="0.15">
      <c r="A21" s="188" t="s">
        <v>1580</v>
      </c>
      <c r="B21" s="188" t="s">
        <v>1580</v>
      </c>
      <c r="C21" s="188" t="s">
        <v>1580</v>
      </c>
      <c r="D21" s="188" t="s">
        <v>1110</v>
      </c>
      <c r="E21" s="188" t="s">
        <v>1110</v>
      </c>
      <c r="F21" s="188" t="s">
        <v>1110</v>
      </c>
      <c r="G21" s="188" t="s">
        <v>1110</v>
      </c>
      <c r="H21" s="188" t="s">
        <v>1110</v>
      </c>
      <c r="I21" s="188" t="s">
        <v>1110</v>
      </c>
      <c r="J21" s="188" t="s">
        <v>1110</v>
      </c>
      <c r="K21" s="188" t="s">
        <v>1110</v>
      </c>
      <c r="L21" s="188" t="s">
        <v>1110</v>
      </c>
      <c r="M21" s="188" t="s">
        <v>1110</v>
      </c>
      <c r="N21" s="188" t="s">
        <v>1110</v>
      </c>
      <c r="O21" s="188" t="s">
        <v>1110</v>
      </c>
      <c r="P21" s="188" t="s">
        <v>1110</v>
      </c>
      <c r="Q21" s="188" t="s">
        <v>1110</v>
      </c>
      <c r="R21" s="188" t="s">
        <v>1110</v>
      </c>
      <c r="S21" s="188" t="s">
        <v>1110</v>
      </c>
      <c r="T21" s="188" t="s">
        <v>1110</v>
      </c>
      <c r="U21" s="188" t="s">
        <v>1110</v>
      </c>
      <c r="V21" s="188" t="s">
        <v>1110</v>
      </c>
      <c r="W21" s="188" t="s">
        <v>1110</v>
      </c>
    </row>
    <row r="22" spans="1:23" x14ac:dyDescent="0.15">
      <c r="A22" s="188" t="s">
        <v>1581</v>
      </c>
      <c r="B22" s="188" t="s">
        <v>1581</v>
      </c>
      <c r="C22" s="188" t="s">
        <v>1581</v>
      </c>
      <c r="D22" s="188" t="s">
        <v>1110</v>
      </c>
      <c r="E22" s="188" t="s">
        <v>1110</v>
      </c>
      <c r="F22" s="188" t="s">
        <v>1110</v>
      </c>
      <c r="G22" s="188" t="s">
        <v>1110</v>
      </c>
      <c r="H22" s="188" t="s">
        <v>1110</v>
      </c>
      <c r="I22" s="188" t="s">
        <v>1110</v>
      </c>
      <c r="J22" s="188" t="s">
        <v>1110</v>
      </c>
      <c r="K22" s="188" t="s">
        <v>1110</v>
      </c>
      <c r="L22" s="188" t="s">
        <v>1110</v>
      </c>
      <c r="M22" s="188" t="s">
        <v>1110</v>
      </c>
      <c r="N22" s="188" t="s">
        <v>1110</v>
      </c>
      <c r="O22" s="188" t="s">
        <v>1110</v>
      </c>
      <c r="P22" s="188" t="s">
        <v>1110</v>
      </c>
      <c r="Q22" s="188" t="s">
        <v>1110</v>
      </c>
      <c r="R22" s="188" t="s">
        <v>1110</v>
      </c>
      <c r="S22" s="188" t="s">
        <v>1110</v>
      </c>
      <c r="T22" s="188" t="s">
        <v>1110</v>
      </c>
      <c r="U22" s="188" t="s">
        <v>1110</v>
      </c>
      <c r="V22" s="188" t="s">
        <v>1110</v>
      </c>
      <c r="W22" s="188" t="s">
        <v>1110</v>
      </c>
    </row>
    <row r="23" spans="1:23" x14ac:dyDescent="0.15">
      <c r="A23" s="188" t="s">
        <v>1582</v>
      </c>
      <c r="B23" s="188" t="s">
        <v>1582</v>
      </c>
      <c r="C23" s="188" t="s">
        <v>1582</v>
      </c>
      <c r="D23" s="188" t="s">
        <v>1110</v>
      </c>
      <c r="E23" s="188" t="s">
        <v>1110</v>
      </c>
      <c r="F23" s="188" t="s">
        <v>1110</v>
      </c>
      <c r="G23" s="188" t="s">
        <v>1110</v>
      </c>
      <c r="H23" s="188" t="s">
        <v>1110</v>
      </c>
      <c r="I23" s="188" t="s">
        <v>1110</v>
      </c>
      <c r="J23" s="188" t="s">
        <v>1110</v>
      </c>
      <c r="K23" s="188" t="s">
        <v>1110</v>
      </c>
      <c r="L23" s="188" t="s">
        <v>1110</v>
      </c>
      <c r="M23" s="188" t="s">
        <v>1110</v>
      </c>
      <c r="N23" s="188" t="s">
        <v>1110</v>
      </c>
      <c r="O23" s="188" t="s">
        <v>1110</v>
      </c>
      <c r="P23" s="188" t="s">
        <v>1110</v>
      </c>
      <c r="Q23" s="188" t="s">
        <v>1110</v>
      </c>
      <c r="R23" s="188" t="s">
        <v>1110</v>
      </c>
      <c r="S23" s="188" t="s">
        <v>1110</v>
      </c>
      <c r="T23" s="188" t="s">
        <v>1110</v>
      </c>
      <c r="U23" s="188" t="s">
        <v>1110</v>
      </c>
      <c r="V23" s="188" t="s">
        <v>1110</v>
      </c>
      <c r="W23" s="188" t="s">
        <v>1110</v>
      </c>
    </row>
    <row r="24" spans="1:23" x14ac:dyDescent="0.15">
      <c r="A24" s="188" t="s">
        <v>1583</v>
      </c>
      <c r="B24" s="188" t="s">
        <v>1583</v>
      </c>
      <c r="C24" s="188" t="s">
        <v>1583</v>
      </c>
      <c r="D24" s="188" t="s">
        <v>1110</v>
      </c>
      <c r="E24" s="188" t="s">
        <v>1110</v>
      </c>
      <c r="F24" s="188" t="s">
        <v>1110</v>
      </c>
      <c r="G24" s="188" t="s">
        <v>1110</v>
      </c>
      <c r="H24" s="188" t="s">
        <v>1110</v>
      </c>
      <c r="I24" s="188" t="s">
        <v>1110</v>
      </c>
      <c r="J24" s="188" t="s">
        <v>1110</v>
      </c>
      <c r="K24" s="188" t="s">
        <v>1110</v>
      </c>
      <c r="L24" s="188" t="s">
        <v>1110</v>
      </c>
      <c r="M24" s="188" t="s">
        <v>1110</v>
      </c>
      <c r="N24" s="188" t="s">
        <v>1110</v>
      </c>
      <c r="O24" s="188" t="s">
        <v>1110</v>
      </c>
      <c r="P24" s="188" t="s">
        <v>1110</v>
      </c>
      <c r="Q24" s="188" t="s">
        <v>1110</v>
      </c>
      <c r="R24" s="188" t="s">
        <v>1110</v>
      </c>
      <c r="S24" s="188" t="s">
        <v>1110</v>
      </c>
      <c r="T24" s="188" t="s">
        <v>1110</v>
      </c>
      <c r="U24" s="188" t="s">
        <v>1110</v>
      </c>
      <c r="V24" s="188" t="s">
        <v>1110</v>
      </c>
      <c r="W24" s="188" t="s">
        <v>1110</v>
      </c>
    </row>
    <row r="25" spans="1:23" x14ac:dyDescent="0.15">
      <c r="A25" s="188" t="s">
        <v>1584</v>
      </c>
      <c r="B25" s="188" t="s">
        <v>1584</v>
      </c>
      <c r="C25" s="188" t="s">
        <v>1584</v>
      </c>
      <c r="D25" s="188" t="s">
        <v>1110</v>
      </c>
      <c r="E25" s="188" t="s">
        <v>1110</v>
      </c>
      <c r="F25" s="188" t="s">
        <v>1110</v>
      </c>
      <c r="G25" s="188" t="s">
        <v>1110</v>
      </c>
      <c r="H25" s="188" t="s">
        <v>1110</v>
      </c>
      <c r="I25" s="188" t="s">
        <v>1110</v>
      </c>
      <c r="J25" s="188" t="s">
        <v>1110</v>
      </c>
      <c r="K25" s="188" t="s">
        <v>1110</v>
      </c>
      <c r="L25" s="188" t="s">
        <v>1110</v>
      </c>
      <c r="M25" s="188" t="s">
        <v>1110</v>
      </c>
      <c r="N25" s="188" t="s">
        <v>1110</v>
      </c>
      <c r="O25" s="188" t="s">
        <v>1110</v>
      </c>
      <c r="P25" s="188" t="s">
        <v>1110</v>
      </c>
      <c r="Q25" s="188" t="s">
        <v>1110</v>
      </c>
      <c r="R25" s="188" t="s">
        <v>1110</v>
      </c>
      <c r="S25" s="188" t="s">
        <v>1110</v>
      </c>
      <c r="T25" s="188" t="s">
        <v>1110</v>
      </c>
      <c r="U25" s="188" t="s">
        <v>1110</v>
      </c>
      <c r="V25" s="188" t="s">
        <v>1110</v>
      </c>
      <c r="W25" s="188" t="s">
        <v>1110</v>
      </c>
    </row>
    <row r="26" spans="1:23" x14ac:dyDescent="0.15">
      <c r="A26" s="188" t="s">
        <v>1079</v>
      </c>
      <c r="B26" s="188" t="s">
        <v>1079</v>
      </c>
      <c r="C26" s="188" t="s">
        <v>1079</v>
      </c>
      <c r="D26" s="188" t="s">
        <v>1110</v>
      </c>
      <c r="E26" s="188" t="s">
        <v>1110</v>
      </c>
      <c r="F26" s="188" t="s">
        <v>1110</v>
      </c>
      <c r="G26" s="188" t="s">
        <v>1110</v>
      </c>
      <c r="H26" s="188" t="s">
        <v>1110</v>
      </c>
      <c r="I26" s="188" t="s">
        <v>1110</v>
      </c>
      <c r="J26" s="188" t="s">
        <v>1110</v>
      </c>
      <c r="K26" s="188" t="s">
        <v>1110</v>
      </c>
      <c r="L26" s="188" t="s">
        <v>1110</v>
      </c>
      <c r="M26" s="188" t="s">
        <v>1110</v>
      </c>
      <c r="N26" s="188" t="s">
        <v>1110</v>
      </c>
      <c r="O26" s="188" t="s">
        <v>1110</v>
      </c>
      <c r="P26" s="188" t="s">
        <v>1110</v>
      </c>
      <c r="Q26" s="188" t="s">
        <v>1110</v>
      </c>
      <c r="R26" s="188" t="s">
        <v>1110</v>
      </c>
      <c r="S26" s="188" t="s">
        <v>1110</v>
      </c>
      <c r="T26" s="188" t="s">
        <v>1110</v>
      </c>
      <c r="U26" s="188" t="s">
        <v>1110</v>
      </c>
      <c r="V26" s="188" t="s">
        <v>1110</v>
      </c>
      <c r="W26" s="188" t="s">
        <v>1110</v>
      </c>
    </row>
    <row r="27" spans="1:23" x14ac:dyDescent="0.15">
      <c r="A27" s="188" t="s">
        <v>1029</v>
      </c>
      <c r="B27" s="188" t="s">
        <v>1029</v>
      </c>
      <c r="C27" s="188" t="s">
        <v>1029</v>
      </c>
      <c r="D27" s="188" t="s">
        <v>1110</v>
      </c>
      <c r="E27" s="188" t="s">
        <v>1110</v>
      </c>
      <c r="F27" s="188" t="s">
        <v>1110</v>
      </c>
      <c r="G27" s="188" t="s">
        <v>1110</v>
      </c>
      <c r="H27" s="188" t="s">
        <v>1110</v>
      </c>
      <c r="I27" s="188" t="s">
        <v>1110</v>
      </c>
      <c r="J27" s="188" t="s">
        <v>1110</v>
      </c>
      <c r="K27" s="188" t="s">
        <v>1110</v>
      </c>
      <c r="L27" s="188" t="s">
        <v>1110</v>
      </c>
      <c r="M27" s="188" t="s">
        <v>1110</v>
      </c>
      <c r="N27" s="188" t="s">
        <v>1110</v>
      </c>
      <c r="O27" s="188" t="s">
        <v>1110</v>
      </c>
      <c r="P27" s="188" t="s">
        <v>1110</v>
      </c>
      <c r="Q27" s="188" t="s">
        <v>1110</v>
      </c>
      <c r="R27" s="188" t="s">
        <v>1110</v>
      </c>
      <c r="S27" s="188" t="s">
        <v>1110</v>
      </c>
      <c r="T27" s="188" t="s">
        <v>1110</v>
      </c>
      <c r="U27" s="188" t="s">
        <v>1110</v>
      </c>
      <c r="V27" s="188" t="s">
        <v>1110</v>
      </c>
      <c r="W27" s="188" t="s">
        <v>1110</v>
      </c>
    </row>
    <row r="28" spans="1:23" x14ac:dyDescent="0.15">
      <c r="A28" s="188" t="s">
        <v>1423</v>
      </c>
      <c r="B28" s="188" t="s">
        <v>1423</v>
      </c>
      <c r="C28" s="188" t="s">
        <v>1423</v>
      </c>
      <c r="D28" s="188" t="s">
        <v>1110</v>
      </c>
      <c r="E28" s="188" t="s">
        <v>1110</v>
      </c>
      <c r="F28" s="188" t="s">
        <v>1110</v>
      </c>
      <c r="G28" s="188" t="s">
        <v>1110</v>
      </c>
      <c r="H28" s="188" t="s">
        <v>1110</v>
      </c>
      <c r="I28" s="188" t="s">
        <v>1110</v>
      </c>
      <c r="J28" s="188" t="s">
        <v>1110</v>
      </c>
      <c r="K28" s="188" t="s">
        <v>1110</v>
      </c>
      <c r="L28" s="188" t="s">
        <v>1110</v>
      </c>
      <c r="M28" s="188" t="s">
        <v>1110</v>
      </c>
      <c r="N28" s="188" t="s">
        <v>1110</v>
      </c>
      <c r="O28" s="188" t="s">
        <v>1110</v>
      </c>
      <c r="P28" s="188" t="s">
        <v>1110</v>
      </c>
      <c r="Q28" s="188" t="s">
        <v>1110</v>
      </c>
      <c r="R28" s="188" t="s">
        <v>1110</v>
      </c>
      <c r="S28" s="188" t="s">
        <v>1110</v>
      </c>
      <c r="T28" s="188" t="s">
        <v>1110</v>
      </c>
      <c r="U28" s="188" t="s">
        <v>1110</v>
      </c>
      <c r="V28" s="188" t="s">
        <v>1110</v>
      </c>
      <c r="W28" s="188" t="s">
        <v>1110</v>
      </c>
    </row>
    <row r="29" spans="1:23" x14ac:dyDescent="0.15">
      <c r="A29" s="188" t="s">
        <v>1426</v>
      </c>
      <c r="B29" s="188" t="s">
        <v>1426</v>
      </c>
      <c r="C29" s="188" t="s">
        <v>1426</v>
      </c>
      <c r="D29" s="188" t="s">
        <v>1110</v>
      </c>
      <c r="E29" s="188" t="s">
        <v>1110</v>
      </c>
      <c r="F29" s="188" t="s">
        <v>1110</v>
      </c>
      <c r="G29" s="188" t="s">
        <v>1110</v>
      </c>
      <c r="H29" s="188" t="s">
        <v>1110</v>
      </c>
      <c r="I29" s="188" t="s">
        <v>1110</v>
      </c>
      <c r="J29" s="188" t="s">
        <v>1110</v>
      </c>
      <c r="K29" s="188" t="s">
        <v>1110</v>
      </c>
      <c r="L29" s="188" t="s">
        <v>1110</v>
      </c>
      <c r="M29" s="188" t="s">
        <v>1110</v>
      </c>
      <c r="N29" s="188" t="s">
        <v>1110</v>
      </c>
      <c r="O29" s="188" t="s">
        <v>1110</v>
      </c>
      <c r="P29" s="188" t="s">
        <v>1110</v>
      </c>
      <c r="Q29" s="188" t="s">
        <v>1110</v>
      </c>
      <c r="R29" s="188" t="s">
        <v>1110</v>
      </c>
      <c r="S29" s="188" t="s">
        <v>1110</v>
      </c>
      <c r="T29" s="188" t="s">
        <v>1110</v>
      </c>
      <c r="U29" s="188" t="s">
        <v>1110</v>
      </c>
      <c r="V29" s="188" t="s">
        <v>1110</v>
      </c>
      <c r="W29" s="188" t="s">
        <v>1110</v>
      </c>
    </row>
    <row r="30" spans="1:23" x14ac:dyDescent="0.15">
      <c r="A30" s="188" t="s">
        <v>74</v>
      </c>
      <c r="B30" s="188" t="s">
        <v>74</v>
      </c>
      <c r="C30" s="188" t="s">
        <v>74</v>
      </c>
      <c r="D30" s="188" t="s">
        <v>1110</v>
      </c>
      <c r="E30" s="188" t="s">
        <v>1110</v>
      </c>
      <c r="F30" s="188" t="s">
        <v>1110</v>
      </c>
      <c r="G30" s="188" t="s">
        <v>1110</v>
      </c>
      <c r="H30" s="188" t="s">
        <v>1110</v>
      </c>
      <c r="I30" s="188" t="s">
        <v>1110</v>
      </c>
      <c r="J30" s="188" t="s">
        <v>1110</v>
      </c>
      <c r="K30" s="188" t="s">
        <v>1110</v>
      </c>
      <c r="L30" s="188" t="s">
        <v>1110</v>
      </c>
      <c r="M30" s="188" t="s">
        <v>1110</v>
      </c>
      <c r="N30" s="188" t="s">
        <v>1110</v>
      </c>
      <c r="O30" s="188" t="s">
        <v>1110</v>
      </c>
      <c r="P30" s="188" t="s">
        <v>1110</v>
      </c>
      <c r="Q30" s="188" t="s">
        <v>1110</v>
      </c>
      <c r="R30" s="188" t="s">
        <v>1110</v>
      </c>
      <c r="S30" s="188" t="s">
        <v>1110</v>
      </c>
      <c r="T30" s="188" t="s">
        <v>1110</v>
      </c>
      <c r="U30" s="188" t="s">
        <v>1110</v>
      </c>
      <c r="V30" s="188" t="s">
        <v>1110</v>
      </c>
      <c r="W30" s="188" t="s">
        <v>1110</v>
      </c>
    </row>
    <row r="31" spans="1:23" x14ac:dyDescent="0.15">
      <c r="A31" s="188" t="s">
        <v>83</v>
      </c>
      <c r="B31" s="188" t="s">
        <v>83</v>
      </c>
      <c r="C31" s="188" t="s">
        <v>83</v>
      </c>
      <c r="D31" s="188" t="s">
        <v>1110</v>
      </c>
      <c r="E31" s="188" t="s">
        <v>1110</v>
      </c>
      <c r="F31" s="188" t="s">
        <v>1110</v>
      </c>
      <c r="G31" s="188" t="s">
        <v>1110</v>
      </c>
      <c r="H31" s="188" t="s">
        <v>1110</v>
      </c>
      <c r="I31" s="188" t="s">
        <v>1110</v>
      </c>
      <c r="J31" s="188" t="s">
        <v>1110</v>
      </c>
      <c r="K31" s="188" t="s">
        <v>1110</v>
      </c>
      <c r="L31" s="188" t="s">
        <v>1110</v>
      </c>
      <c r="M31" s="188" t="s">
        <v>1110</v>
      </c>
      <c r="N31" s="188" t="s">
        <v>1110</v>
      </c>
      <c r="O31" s="188" t="s">
        <v>1110</v>
      </c>
      <c r="P31" s="188" t="s">
        <v>1110</v>
      </c>
      <c r="Q31" s="188" t="s">
        <v>1110</v>
      </c>
      <c r="R31" s="188" t="s">
        <v>1110</v>
      </c>
      <c r="S31" s="188" t="s">
        <v>1110</v>
      </c>
      <c r="T31" s="188" t="s">
        <v>1110</v>
      </c>
      <c r="U31" s="188" t="s">
        <v>1110</v>
      </c>
      <c r="V31" s="188" t="s">
        <v>1110</v>
      </c>
      <c r="W31" s="188" t="s">
        <v>1110</v>
      </c>
    </row>
    <row r="32" spans="1:23" x14ac:dyDescent="0.15">
      <c r="A32" s="188" t="s">
        <v>1602</v>
      </c>
      <c r="B32" s="188" t="s">
        <v>1602</v>
      </c>
      <c r="C32" s="188" t="s">
        <v>1602</v>
      </c>
      <c r="D32" s="188" t="s">
        <v>1110</v>
      </c>
      <c r="E32" s="188" t="s">
        <v>1110</v>
      </c>
      <c r="F32" s="188" t="s">
        <v>1110</v>
      </c>
      <c r="G32" s="188" t="s">
        <v>1110</v>
      </c>
      <c r="H32" s="188" t="s">
        <v>1110</v>
      </c>
      <c r="I32" s="188" t="s">
        <v>1110</v>
      </c>
      <c r="J32" s="188" t="s">
        <v>1110</v>
      </c>
      <c r="K32" s="188" t="s">
        <v>1110</v>
      </c>
      <c r="L32" s="188" t="s">
        <v>1110</v>
      </c>
      <c r="M32" s="188" t="s">
        <v>1110</v>
      </c>
      <c r="N32" s="188" t="s">
        <v>1110</v>
      </c>
      <c r="O32" s="188" t="s">
        <v>1110</v>
      </c>
      <c r="P32" s="188" t="s">
        <v>1110</v>
      </c>
      <c r="Q32" s="188" t="s">
        <v>1110</v>
      </c>
      <c r="R32" s="188" t="s">
        <v>1110</v>
      </c>
      <c r="S32" s="188" t="s">
        <v>1110</v>
      </c>
      <c r="T32" s="188" t="s">
        <v>1110</v>
      </c>
      <c r="U32" s="188" t="s">
        <v>1110</v>
      </c>
      <c r="V32" s="188" t="s">
        <v>1110</v>
      </c>
      <c r="W32" s="188" t="s">
        <v>1110</v>
      </c>
    </row>
    <row r="33" spans="1:23" x14ac:dyDescent="0.15">
      <c r="A33" s="188" t="s">
        <v>529</v>
      </c>
      <c r="B33" s="188" t="s">
        <v>529</v>
      </c>
      <c r="C33" s="188" t="s">
        <v>529</v>
      </c>
      <c r="D33" s="188" t="s">
        <v>1110</v>
      </c>
      <c r="E33" s="188" t="s">
        <v>1110</v>
      </c>
      <c r="F33" s="188" t="s">
        <v>529</v>
      </c>
      <c r="G33" s="188" t="s">
        <v>1110</v>
      </c>
      <c r="H33" s="188" t="s">
        <v>529</v>
      </c>
      <c r="I33" s="188" t="s">
        <v>1110</v>
      </c>
      <c r="J33" s="188" t="s">
        <v>1110</v>
      </c>
      <c r="K33" s="188" t="s">
        <v>1110</v>
      </c>
      <c r="L33" s="188" t="s">
        <v>1110</v>
      </c>
      <c r="M33" s="188" t="s">
        <v>1110</v>
      </c>
      <c r="N33" s="188" t="s">
        <v>1110</v>
      </c>
      <c r="O33" s="188" t="s">
        <v>1110</v>
      </c>
      <c r="P33" s="188" t="s">
        <v>1110</v>
      </c>
      <c r="Q33" s="188" t="s">
        <v>1110</v>
      </c>
      <c r="R33" s="188" t="s">
        <v>1110</v>
      </c>
      <c r="S33" s="188" t="s">
        <v>1110</v>
      </c>
      <c r="T33" s="188" t="s">
        <v>1110</v>
      </c>
      <c r="U33" s="188" t="s">
        <v>1110</v>
      </c>
      <c r="V33" s="188" t="s">
        <v>1110</v>
      </c>
      <c r="W33" s="188" t="s">
        <v>1110</v>
      </c>
    </row>
    <row r="34" spans="1:23" x14ac:dyDescent="0.15">
      <c r="A34" s="188" t="s">
        <v>113</v>
      </c>
      <c r="B34" s="188" t="s">
        <v>113</v>
      </c>
      <c r="C34" s="188" t="s">
        <v>113</v>
      </c>
      <c r="D34" s="188" t="s">
        <v>1110</v>
      </c>
      <c r="E34" s="188" t="s">
        <v>1110</v>
      </c>
      <c r="F34" s="188" t="s">
        <v>113</v>
      </c>
      <c r="G34" s="188" t="s">
        <v>1110</v>
      </c>
      <c r="H34" s="188" t="s">
        <v>113</v>
      </c>
      <c r="I34" s="188" t="s">
        <v>1110</v>
      </c>
      <c r="J34" s="188" t="s">
        <v>1110</v>
      </c>
      <c r="K34" s="188" t="s">
        <v>1110</v>
      </c>
      <c r="L34" s="188" t="s">
        <v>1110</v>
      </c>
      <c r="M34" s="188" t="s">
        <v>1110</v>
      </c>
      <c r="N34" s="188" t="s">
        <v>1110</v>
      </c>
      <c r="O34" s="188" t="s">
        <v>1110</v>
      </c>
      <c r="P34" s="188" t="s">
        <v>1110</v>
      </c>
      <c r="Q34" s="188" t="s">
        <v>1110</v>
      </c>
      <c r="R34" s="188" t="s">
        <v>1110</v>
      </c>
      <c r="S34" s="188" t="s">
        <v>1110</v>
      </c>
      <c r="T34" s="188" t="s">
        <v>1110</v>
      </c>
      <c r="U34" s="188" t="s">
        <v>1110</v>
      </c>
      <c r="V34" s="188" t="s">
        <v>1110</v>
      </c>
      <c r="W34" s="188" t="s">
        <v>1110</v>
      </c>
    </row>
    <row r="35" spans="1:23" x14ac:dyDescent="0.15">
      <c r="A35" s="188" t="s">
        <v>722</v>
      </c>
      <c r="B35" s="188" t="s">
        <v>722</v>
      </c>
      <c r="C35" s="188" t="s">
        <v>722</v>
      </c>
      <c r="D35" s="188" t="s">
        <v>1110</v>
      </c>
      <c r="E35" s="188" t="s">
        <v>1110</v>
      </c>
      <c r="F35" s="188" t="s">
        <v>1110</v>
      </c>
      <c r="G35" s="188" t="s">
        <v>1110</v>
      </c>
      <c r="H35" s="188" t="s">
        <v>1110</v>
      </c>
      <c r="I35" s="188" t="s">
        <v>722</v>
      </c>
      <c r="J35" s="188" t="s">
        <v>1110</v>
      </c>
      <c r="K35" s="188" t="s">
        <v>1110</v>
      </c>
      <c r="L35" s="188" t="s">
        <v>1110</v>
      </c>
      <c r="M35" s="188" t="s">
        <v>1110</v>
      </c>
      <c r="N35" s="188" t="s">
        <v>1110</v>
      </c>
      <c r="O35" s="188" t="s">
        <v>1110</v>
      </c>
      <c r="P35" s="188" t="s">
        <v>1110</v>
      </c>
      <c r="Q35" s="188" t="s">
        <v>1110</v>
      </c>
      <c r="R35" s="188" t="s">
        <v>1110</v>
      </c>
      <c r="S35" s="188" t="s">
        <v>1110</v>
      </c>
      <c r="T35" s="188" t="s">
        <v>1110</v>
      </c>
      <c r="U35" s="188" t="s">
        <v>1110</v>
      </c>
      <c r="V35" s="188" t="s">
        <v>1110</v>
      </c>
      <c r="W35" s="188" t="s">
        <v>1110</v>
      </c>
    </row>
    <row r="36" spans="1:23" x14ac:dyDescent="0.15">
      <c r="A36" s="188" t="s">
        <v>577</v>
      </c>
      <c r="B36" s="188" t="s">
        <v>577</v>
      </c>
      <c r="C36" s="188" t="s">
        <v>577</v>
      </c>
      <c r="D36" s="188" t="s">
        <v>1110</v>
      </c>
      <c r="E36" s="188" t="s">
        <v>1110</v>
      </c>
      <c r="F36" s="188" t="s">
        <v>1110</v>
      </c>
      <c r="G36" s="188" t="s">
        <v>1110</v>
      </c>
      <c r="H36" s="188" t="s">
        <v>1110</v>
      </c>
      <c r="I36" s="188" t="s">
        <v>577</v>
      </c>
      <c r="J36" s="188" t="s">
        <v>1110</v>
      </c>
      <c r="K36" s="188" t="s">
        <v>1110</v>
      </c>
      <c r="L36" s="188" t="s">
        <v>1110</v>
      </c>
      <c r="M36" s="188" t="s">
        <v>1110</v>
      </c>
      <c r="N36" s="188" t="s">
        <v>1110</v>
      </c>
      <c r="O36" s="188" t="s">
        <v>1110</v>
      </c>
      <c r="P36" s="188" t="s">
        <v>1110</v>
      </c>
      <c r="Q36" s="188" t="s">
        <v>1110</v>
      </c>
      <c r="R36" s="188" t="s">
        <v>1110</v>
      </c>
      <c r="S36" s="188" t="s">
        <v>1110</v>
      </c>
      <c r="T36" s="188" t="s">
        <v>1110</v>
      </c>
      <c r="U36" s="188" t="s">
        <v>1110</v>
      </c>
      <c r="V36" s="188" t="s">
        <v>1110</v>
      </c>
      <c r="W36" s="188" t="s">
        <v>1110</v>
      </c>
    </row>
    <row r="37" spans="1:23" x14ac:dyDescent="0.15">
      <c r="A37" s="188" t="s">
        <v>1080</v>
      </c>
      <c r="B37" s="188" t="s">
        <v>1080</v>
      </c>
      <c r="C37" s="188" t="s">
        <v>1080</v>
      </c>
      <c r="D37" s="188" t="s">
        <v>1110</v>
      </c>
      <c r="E37" s="188" t="s">
        <v>1080</v>
      </c>
      <c r="F37" s="188" t="s">
        <v>1080</v>
      </c>
      <c r="G37" s="188" t="s">
        <v>1110</v>
      </c>
      <c r="H37" s="188" t="s">
        <v>1080</v>
      </c>
      <c r="I37" s="188" t="s">
        <v>1110</v>
      </c>
      <c r="J37" s="188" t="s">
        <v>1080</v>
      </c>
      <c r="K37" s="188" t="s">
        <v>1110</v>
      </c>
      <c r="L37" s="188" t="s">
        <v>1110</v>
      </c>
      <c r="M37" s="188" t="s">
        <v>1110</v>
      </c>
      <c r="N37" s="188" t="s">
        <v>1110</v>
      </c>
      <c r="O37" s="188" t="s">
        <v>1110</v>
      </c>
      <c r="P37" s="188" t="s">
        <v>1110</v>
      </c>
      <c r="Q37" s="188" t="s">
        <v>1110</v>
      </c>
      <c r="R37" s="188" t="s">
        <v>1110</v>
      </c>
      <c r="S37" s="188" t="s">
        <v>1110</v>
      </c>
      <c r="T37" s="188" t="s">
        <v>1110</v>
      </c>
      <c r="U37" s="188" t="s">
        <v>1110</v>
      </c>
      <c r="V37" s="188" t="s">
        <v>1110</v>
      </c>
      <c r="W37" s="188" t="s">
        <v>1110</v>
      </c>
    </row>
    <row r="38" spans="1:23" x14ac:dyDescent="0.15">
      <c r="A38" s="188" t="s">
        <v>1081</v>
      </c>
      <c r="B38" s="188" t="s">
        <v>1081</v>
      </c>
      <c r="C38" s="188" t="s">
        <v>1081</v>
      </c>
      <c r="D38" s="188" t="s">
        <v>1110</v>
      </c>
      <c r="E38" s="188" t="s">
        <v>1081</v>
      </c>
      <c r="F38" s="188" t="s">
        <v>1081</v>
      </c>
      <c r="G38" s="188" t="s">
        <v>1110</v>
      </c>
      <c r="H38" s="188" t="s">
        <v>1081</v>
      </c>
      <c r="I38" s="188" t="s">
        <v>1110</v>
      </c>
      <c r="J38" s="188" t="s">
        <v>1081</v>
      </c>
      <c r="K38" s="188" t="s">
        <v>1110</v>
      </c>
      <c r="L38" s="188" t="s">
        <v>1110</v>
      </c>
      <c r="M38" s="188" t="s">
        <v>1110</v>
      </c>
      <c r="N38" s="188" t="s">
        <v>1110</v>
      </c>
      <c r="O38" s="188" t="s">
        <v>1110</v>
      </c>
      <c r="P38" s="188" t="s">
        <v>1110</v>
      </c>
      <c r="Q38" s="188" t="s">
        <v>1110</v>
      </c>
      <c r="R38" s="188" t="s">
        <v>1110</v>
      </c>
      <c r="S38" s="188" t="s">
        <v>1110</v>
      </c>
      <c r="T38" s="188" t="s">
        <v>1110</v>
      </c>
      <c r="U38" s="188" t="s">
        <v>1110</v>
      </c>
      <c r="V38" s="188" t="s">
        <v>1110</v>
      </c>
      <c r="W38" s="188" t="s">
        <v>1110</v>
      </c>
    </row>
    <row r="39" spans="1:23" x14ac:dyDescent="0.15">
      <c r="A39" s="188" t="s">
        <v>1097</v>
      </c>
      <c r="B39" s="188" t="s">
        <v>1110</v>
      </c>
      <c r="C39" s="188" t="s">
        <v>1110</v>
      </c>
      <c r="D39" s="188" t="s">
        <v>1110</v>
      </c>
      <c r="E39" s="188" t="s">
        <v>1110</v>
      </c>
      <c r="F39" s="188" t="s">
        <v>1097</v>
      </c>
      <c r="G39" s="188" t="s">
        <v>1110</v>
      </c>
      <c r="H39" s="188" t="s">
        <v>1097</v>
      </c>
      <c r="I39" s="188" t="s">
        <v>1110</v>
      </c>
      <c r="J39" s="188" t="s">
        <v>1110</v>
      </c>
      <c r="K39" s="188" t="s">
        <v>1110</v>
      </c>
      <c r="L39" s="188" t="s">
        <v>1110</v>
      </c>
      <c r="M39" s="188" t="s">
        <v>1110</v>
      </c>
      <c r="N39" s="188" t="s">
        <v>1110</v>
      </c>
      <c r="O39" s="188" t="s">
        <v>1110</v>
      </c>
      <c r="P39" s="188" t="s">
        <v>1110</v>
      </c>
      <c r="Q39" s="188" t="s">
        <v>1110</v>
      </c>
      <c r="R39" s="188" t="s">
        <v>1110</v>
      </c>
      <c r="S39" s="188" t="s">
        <v>1110</v>
      </c>
      <c r="T39" s="188" t="s">
        <v>1110</v>
      </c>
      <c r="U39" s="188" t="s">
        <v>1110</v>
      </c>
      <c r="V39" s="188" t="s">
        <v>1110</v>
      </c>
      <c r="W39" s="188" t="s">
        <v>1110</v>
      </c>
    </row>
    <row r="40" spans="1:23" x14ac:dyDescent="0.15">
      <c r="A40" s="188" t="s">
        <v>1420</v>
      </c>
      <c r="B40" s="188" t="s">
        <v>1420</v>
      </c>
      <c r="C40" s="188" t="s">
        <v>1420</v>
      </c>
      <c r="D40" s="188" t="s">
        <v>1110</v>
      </c>
      <c r="E40" s="188" t="s">
        <v>1420</v>
      </c>
      <c r="F40" s="188" t="s">
        <v>1110</v>
      </c>
      <c r="G40" s="188" t="s">
        <v>1110</v>
      </c>
      <c r="H40" s="188" t="s">
        <v>1110</v>
      </c>
      <c r="I40" s="188" t="s">
        <v>1110</v>
      </c>
      <c r="J40" s="188" t="s">
        <v>1110</v>
      </c>
      <c r="K40" s="188" t="s">
        <v>1110</v>
      </c>
      <c r="L40" s="188" t="s">
        <v>1110</v>
      </c>
      <c r="M40" s="188" t="s">
        <v>1110</v>
      </c>
      <c r="N40" s="188" t="s">
        <v>1110</v>
      </c>
      <c r="O40" s="188" t="s">
        <v>1110</v>
      </c>
      <c r="P40" s="188" t="s">
        <v>1110</v>
      </c>
      <c r="Q40" s="188" t="s">
        <v>1110</v>
      </c>
      <c r="R40" s="188" t="s">
        <v>1110</v>
      </c>
      <c r="S40" s="188" t="s">
        <v>1110</v>
      </c>
      <c r="T40" s="188" t="s">
        <v>1110</v>
      </c>
      <c r="U40" s="188" t="s">
        <v>1110</v>
      </c>
      <c r="V40" s="188" t="s">
        <v>1110</v>
      </c>
      <c r="W40" s="188" t="s">
        <v>1110</v>
      </c>
    </row>
    <row r="41" spans="1:23" x14ac:dyDescent="0.15">
      <c r="A41" s="188" t="s">
        <v>1027</v>
      </c>
      <c r="B41" s="188" t="s">
        <v>1027</v>
      </c>
      <c r="C41" s="188" t="s">
        <v>1027</v>
      </c>
      <c r="D41" s="188" t="s">
        <v>1110</v>
      </c>
      <c r="E41" s="188" t="s">
        <v>1027</v>
      </c>
      <c r="F41" s="188" t="s">
        <v>1027</v>
      </c>
      <c r="G41" s="188" t="s">
        <v>1110</v>
      </c>
      <c r="H41" s="188" t="s">
        <v>1027</v>
      </c>
      <c r="I41" s="188" t="s">
        <v>1110</v>
      </c>
      <c r="J41" s="188" t="s">
        <v>1110</v>
      </c>
      <c r="K41" s="188" t="s">
        <v>1110</v>
      </c>
      <c r="L41" s="188" t="s">
        <v>1110</v>
      </c>
      <c r="M41" s="188" t="s">
        <v>1110</v>
      </c>
      <c r="N41" s="188" t="s">
        <v>1110</v>
      </c>
      <c r="O41" s="188" t="s">
        <v>1110</v>
      </c>
      <c r="P41" s="188" t="s">
        <v>1110</v>
      </c>
      <c r="Q41" s="188" t="s">
        <v>1110</v>
      </c>
      <c r="R41" s="188" t="s">
        <v>1110</v>
      </c>
      <c r="S41" s="188" t="s">
        <v>1110</v>
      </c>
      <c r="T41" s="188" t="s">
        <v>1110</v>
      </c>
      <c r="U41" s="188" t="s">
        <v>1110</v>
      </c>
      <c r="V41" s="188" t="s">
        <v>1110</v>
      </c>
      <c r="W41" s="188" t="s">
        <v>1110</v>
      </c>
    </row>
    <row r="42" spans="1:23" x14ac:dyDescent="0.15">
      <c r="A42" s="188" t="s">
        <v>1418</v>
      </c>
      <c r="B42" s="188" t="s">
        <v>1418</v>
      </c>
      <c r="C42" s="188" t="s">
        <v>1418</v>
      </c>
      <c r="D42" s="188" t="s">
        <v>1110</v>
      </c>
      <c r="E42" s="188" t="s">
        <v>1418</v>
      </c>
      <c r="F42" s="188" t="s">
        <v>1418</v>
      </c>
      <c r="G42" s="188" t="s">
        <v>1110</v>
      </c>
      <c r="H42" s="188" t="s">
        <v>1418</v>
      </c>
      <c r="I42" s="188" t="s">
        <v>1110</v>
      </c>
      <c r="J42" s="188" t="s">
        <v>1418</v>
      </c>
      <c r="K42" s="188" t="s">
        <v>1110</v>
      </c>
      <c r="L42" s="188" t="s">
        <v>1110</v>
      </c>
      <c r="M42" s="188" t="s">
        <v>1110</v>
      </c>
      <c r="N42" s="188" t="s">
        <v>1110</v>
      </c>
      <c r="O42" s="188" t="s">
        <v>1110</v>
      </c>
      <c r="P42" s="188" t="s">
        <v>1110</v>
      </c>
      <c r="Q42" s="188" t="s">
        <v>1110</v>
      </c>
      <c r="R42" s="188" t="s">
        <v>1110</v>
      </c>
      <c r="S42" s="188" t="s">
        <v>1110</v>
      </c>
      <c r="T42" s="188" t="s">
        <v>1110</v>
      </c>
      <c r="U42" s="188" t="s">
        <v>1110</v>
      </c>
      <c r="V42" s="188" t="s">
        <v>1110</v>
      </c>
      <c r="W42" s="188" t="s">
        <v>1110</v>
      </c>
    </row>
    <row r="43" spans="1:23" x14ac:dyDescent="0.15">
      <c r="A43" s="188" t="s">
        <v>1028</v>
      </c>
      <c r="B43" s="188" t="s">
        <v>1028</v>
      </c>
      <c r="C43" s="188" t="s">
        <v>1028</v>
      </c>
      <c r="D43" s="188" t="s">
        <v>1110</v>
      </c>
      <c r="E43" s="188" t="s">
        <v>1028</v>
      </c>
      <c r="F43" s="188" t="s">
        <v>1028</v>
      </c>
      <c r="G43" s="188" t="s">
        <v>1110</v>
      </c>
      <c r="H43" s="188" t="s">
        <v>1028</v>
      </c>
      <c r="I43" s="188" t="s">
        <v>1110</v>
      </c>
      <c r="J43" s="188" t="s">
        <v>1110</v>
      </c>
      <c r="K43" s="188" t="s">
        <v>1110</v>
      </c>
      <c r="L43" s="188" t="s">
        <v>1110</v>
      </c>
      <c r="M43" s="188" t="s">
        <v>1110</v>
      </c>
      <c r="N43" s="188" t="s">
        <v>1110</v>
      </c>
      <c r="O43" s="188" t="s">
        <v>1110</v>
      </c>
      <c r="P43" s="188" t="s">
        <v>1110</v>
      </c>
      <c r="Q43" s="188" t="s">
        <v>1110</v>
      </c>
      <c r="R43" s="188" t="s">
        <v>1110</v>
      </c>
      <c r="S43" s="188" t="s">
        <v>1110</v>
      </c>
      <c r="T43" s="188" t="s">
        <v>1110</v>
      </c>
      <c r="U43" s="188" t="s">
        <v>1110</v>
      </c>
      <c r="V43" s="188" t="s">
        <v>1110</v>
      </c>
      <c r="W43" s="188" t="s">
        <v>1110</v>
      </c>
    </row>
    <row r="44" spans="1:23" x14ac:dyDescent="0.15">
      <c r="A44" s="188" t="s">
        <v>1421</v>
      </c>
      <c r="B44" s="188" t="s">
        <v>1421</v>
      </c>
      <c r="C44" s="188" t="s">
        <v>1421</v>
      </c>
      <c r="D44" s="188" t="s">
        <v>1110</v>
      </c>
      <c r="E44" s="188" t="s">
        <v>1421</v>
      </c>
      <c r="F44" s="188" t="s">
        <v>1421</v>
      </c>
      <c r="G44" s="188" t="s">
        <v>1110</v>
      </c>
      <c r="H44" s="188" t="s">
        <v>1421</v>
      </c>
      <c r="I44" s="188" t="s">
        <v>1110</v>
      </c>
      <c r="J44" s="188" t="s">
        <v>1421</v>
      </c>
      <c r="K44" s="188" t="s">
        <v>1110</v>
      </c>
      <c r="L44" s="188" t="s">
        <v>1110</v>
      </c>
      <c r="M44" s="188" t="s">
        <v>1110</v>
      </c>
      <c r="N44" s="188" t="s">
        <v>1110</v>
      </c>
      <c r="O44" s="188" t="s">
        <v>1110</v>
      </c>
      <c r="P44" s="188" t="s">
        <v>1110</v>
      </c>
      <c r="Q44" s="188" t="s">
        <v>1110</v>
      </c>
      <c r="R44" s="188" t="s">
        <v>1110</v>
      </c>
      <c r="S44" s="188" t="s">
        <v>1110</v>
      </c>
      <c r="T44" s="188" t="s">
        <v>1110</v>
      </c>
      <c r="U44" s="188" t="s">
        <v>1110</v>
      </c>
      <c r="V44" s="188" t="s">
        <v>1110</v>
      </c>
      <c r="W44" s="188" t="s">
        <v>1110</v>
      </c>
    </row>
    <row r="45" spans="1:23" x14ac:dyDescent="0.15">
      <c r="A45" s="188" t="s">
        <v>1422</v>
      </c>
      <c r="B45" s="188" t="s">
        <v>1422</v>
      </c>
      <c r="C45" s="188" t="s">
        <v>1422</v>
      </c>
      <c r="D45" s="188" t="s">
        <v>1110</v>
      </c>
      <c r="E45" s="188" t="s">
        <v>1422</v>
      </c>
      <c r="F45" s="188" t="s">
        <v>1422</v>
      </c>
      <c r="G45" s="188" t="s">
        <v>1110</v>
      </c>
      <c r="H45" s="188" t="s">
        <v>1422</v>
      </c>
      <c r="I45" s="188" t="s">
        <v>1110</v>
      </c>
      <c r="J45" s="188" t="s">
        <v>1422</v>
      </c>
      <c r="K45" s="188" t="s">
        <v>1110</v>
      </c>
      <c r="L45" s="188" t="s">
        <v>1110</v>
      </c>
      <c r="M45" s="188" t="s">
        <v>1110</v>
      </c>
      <c r="N45" s="188" t="s">
        <v>1110</v>
      </c>
      <c r="O45" s="188" t="s">
        <v>1110</v>
      </c>
      <c r="P45" s="188" t="s">
        <v>1110</v>
      </c>
      <c r="Q45" s="188" t="s">
        <v>1110</v>
      </c>
      <c r="R45" s="188" t="s">
        <v>1110</v>
      </c>
      <c r="S45" s="188" t="s">
        <v>1110</v>
      </c>
      <c r="T45" s="188" t="s">
        <v>1110</v>
      </c>
      <c r="U45" s="188" t="s">
        <v>1110</v>
      </c>
      <c r="V45" s="188" t="s">
        <v>1110</v>
      </c>
      <c r="W45" s="188" t="s">
        <v>1110</v>
      </c>
    </row>
    <row r="46" spans="1:23" x14ac:dyDescent="0.15">
      <c r="A46" s="188" t="s">
        <v>1082</v>
      </c>
      <c r="B46" s="188" t="s">
        <v>1082</v>
      </c>
      <c r="C46" s="188" t="s">
        <v>1082</v>
      </c>
      <c r="D46" s="188" t="s">
        <v>1110</v>
      </c>
      <c r="E46" s="188" t="s">
        <v>1082</v>
      </c>
      <c r="F46" s="188" t="s">
        <v>1082</v>
      </c>
      <c r="G46" s="188" t="s">
        <v>1110</v>
      </c>
      <c r="H46" s="188" t="s">
        <v>1082</v>
      </c>
      <c r="I46" s="188" t="s">
        <v>1110</v>
      </c>
      <c r="J46" s="188" t="s">
        <v>1110</v>
      </c>
      <c r="K46" s="188" t="s">
        <v>1110</v>
      </c>
      <c r="L46" s="188" t="s">
        <v>1110</v>
      </c>
      <c r="M46" s="188" t="s">
        <v>1110</v>
      </c>
      <c r="N46" s="188" t="s">
        <v>1110</v>
      </c>
      <c r="O46" s="188" t="s">
        <v>1110</v>
      </c>
      <c r="P46" s="188" t="s">
        <v>1110</v>
      </c>
      <c r="Q46" s="188" t="s">
        <v>1110</v>
      </c>
      <c r="R46" s="188" t="s">
        <v>1110</v>
      </c>
      <c r="S46" s="188" t="s">
        <v>1110</v>
      </c>
      <c r="T46" s="188" t="s">
        <v>1110</v>
      </c>
      <c r="U46" s="188" t="s">
        <v>1110</v>
      </c>
      <c r="V46" s="188" t="s">
        <v>1110</v>
      </c>
      <c r="W46" s="188" t="s">
        <v>1110</v>
      </c>
    </row>
    <row r="47" spans="1:23" x14ac:dyDescent="0.15">
      <c r="A47" s="188" t="s">
        <v>1083</v>
      </c>
      <c r="B47" s="188" t="s">
        <v>1083</v>
      </c>
      <c r="C47" s="188" t="s">
        <v>1083</v>
      </c>
      <c r="D47" s="188" t="s">
        <v>1110</v>
      </c>
      <c r="E47" s="188" t="s">
        <v>1083</v>
      </c>
      <c r="F47" s="188" t="s">
        <v>1083</v>
      </c>
      <c r="G47" s="188" t="s">
        <v>1110</v>
      </c>
      <c r="H47" s="188" t="s">
        <v>1083</v>
      </c>
      <c r="I47" s="188" t="s">
        <v>1110</v>
      </c>
      <c r="J47" s="188" t="s">
        <v>1110</v>
      </c>
      <c r="K47" s="188" t="s">
        <v>1110</v>
      </c>
      <c r="L47" s="188" t="s">
        <v>1110</v>
      </c>
      <c r="M47" s="188" t="s">
        <v>1110</v>
      </c>
      <c r="N47" s="188" t="s">
        <v>1110</v>
      </c>
      <c r="O47" s="188" t="s">
        <v>1110</v>
      </c>
      <c r="P47" s="188" t="s">
        <v>1110</v>
      </c>
      <c r="Q47" s="188" t="s">
        <v>1110</v>
      </c>
      <c r="R47" s="188" t="s">
        <v>1110</v>
      </c>
      <c r="S47" s="188" t="s">
        <v>1110</v>
      </c>
      <c r="T47" s="188" t="s">
        <v>1110</v>
      </c>
      <c r="U47" s="188" t="s">
        <v>1110</v>
      </c>
      <c r="V47" s="188" t="s">
        <v>1110</v>
      </c>
      <c r="W47" s="188" t="s">
        <v>1110</v>
      </c>
    </row>
    <row r="48" spans="1:23" x14ac:dyDescent="0.15">
      <c r="A48" s="188" t="s">
        <v>1006</v>
      </c>
      <c r="B48" s="188" t="s">
        <v>1006</v>
      </c>
      <c r="C48" s="188" t="s">
        <v>1006</v>
      </c>
      <c r="D48" s="188" t="s">
        <v>1110</v>
      </c>
      <c r="E48" s="188" t="s">
        <v>1110</v>
      </c>
      <c r="F48" s="188" t="s">
        <v>1110</v>
      </c>
      <c r="G48" s="188" t="s">
        <v>1110</v>
      </c>
      <c r="H48" s="188" t="s">
        <v>1110</v>
      </c>
      <c r="I48" s="188" t="s">
        <v>1110</v>
      </c>
      <c r="J48" s="188" t="s">
        <v>1110</v>
      </c>
      <c r="K48" s="188" t="s">
        <v>1110</v>
      </c>
      <c r="L48" s="188" t="s">
        <v>1110</v>
      </c>
      <c r="M48" s="188" t="s">
        <v>1110</v>
      </c>
      <c r="N48" s="188" t="s">
        <v>1110</v>
      </c>
      <c r="O48" s="188" t="s">
        <v>1110</v>
      </c>
      <c r="P48" s="188" t="s">
        <v>1110</v>
      </c>
      <c r="Q48" s="188" t="s">
        <v>1006</v>
      </c>
      <c r="R48" s="188" t="s">
        <v>1110</v>
      </c>
      <c r="S48" s="188" t="s">
        <v>1110</v>
      </c>
      <c r="T48" s="188" t="s">
        <v>1110</v>
      </c>
      <c r="U48" s="188" t="s">
        <v>1110</v>
      </c>
      <c r="V48" s="188" t="s">
        <v>1110</v>
      </c>
      <c r="W48" s="188" t="s">
        <v>1110</v>
      </c>
    </row>
    <row r="49" spans="1:23" x14ac:dyDescent="0.15">
      <c r="A49" s="188" t="s">
        <v>1084</v>
      </c>
      <c r="B49" s="188" t="s">
        <v>1084</v>
      </c>
      <c r="C49" s="188" t="s">
        <v>1084</v>
      </c>
      <c r="D49" s="188" t="s">
        <v>1110</v>
      </c>
      <c r="E49" s="188" t="s">
        <v>1110</v>
      </c>
      <c r="F49" s="188" t="s">
        <v>1110</v>
      </c>
      <c r="G49" s="188" t="s">
        <v>1110</v>
      </c>
      <c r="H49" s="188" t="s">
        <v>1110</v>
      </c>
      <c r="I49" s="188" t="s">
        <v>1110</v>
      </c>
      <c r="J49" s="188" t="s">
        <v>1110</v>
      </c>
      <c r="K49" s="188" t="s">
        <v>1110</v>
      </c>
      <c r="L49" s="188" t="s">
        <v>1110</v>
      </c>
      <c r="M49" s="188" t="s">
        <v>1110</v>
      </c>
      <c r="N49" s="188" t="s">
        <v>1110</v>
      </c>
      <c r="O49" s="188" t="s">
        <v>1110</v>
      </c>
      <c r="P49" s="188" t="s">
        <v>1110</v>
      </c>
      <c r="Q49" s="188" t="s">
        <v>1110</v>
      </c>
      <c r="R49" s="188" t="s">
        <v>1110</v>
      </c>
      <c r="S49" s="188" t="s">
        <v>1110</v>
      </c>
      <c r="T49" s="188" t="s">
        <v>1110</v>
      </c>
      <c r="U49" s="188" t="s">
        <v>1110</v>
      </c>
      <c r="V49" s="188" t="s">
        <v>1110</v>
      </c>
      <c r="W49" s="188" t="s">
        <v>1110</v>
      </c>
    </row>
    <row r="50" spans="1:23" x14ac:dyDescent="0.15">
      <c r="A50" s="188" t="s">
        <v>1085</v>
      </c>
      <c r="B50" s="188" t="s">
        <v>1085</v>
      </c>
      <c r="C50" s="188" t="s">
        <v>1085</v>
      </c>
      <c r="D50" s="188" t="s">
        <v>1110</v>
      </c>
      <c r="E50" s="188" t="s">
        <v>1110</v>
      </c>
      <c r="F50" s="188" t="s">
        <v>1110</v>
      </c>
      <c r="G50" s="188" t="s">
        <v>1110</v>
      </c>
      <c r="H50" s="188" t="s">
        <v>1110</v>
      </c>
      <c r="I50" s="188" t="s">
        <v>1110</v>
      </c>
      <c r="J50" s="188" t="s">
        <v>1110</v>
      </c>
      <c r="K50" s="188" t="s">
        <v>1110</v>
      </c>
      <c r="L50" s="188" t="s">
        <v>1110</v>
      </c>
      <c r="M50" s="188" t="s">
        <v>1110</v>
      </c>
      <c r="N50" s="188" t="s">
        <v>1110</v>
      </c>
      <c r="O50" s="188" t="s">
        <v>1110</v>
      </c>
      <c r="P50" s="188" t="s">
        <v>1110</v>
      </c>
      <c r="Q50" s="188" t="s">
        <v>1110</v>
      </c>
      <c r="R50" s="188" t="s">
        <v>1110</v>
      </c>
      <c r="S50" s="188" t="s">
        <v>1110</v>
      </c>
      <c r="T50" s="188" t="s">
        <v>1110</v>
      </c>
      <c r="U50" s="188" t="s">
        <v>1110</v>
      </c>
      <c r="V50" s="188" t="s">
        <v>1110</v>
      </c>
      <c r="W50" s="188" t="s">
        <v>1110</v>
      </c>
    </row>
    <row r="51" spans="1:23" x14ac:dyDescent="0.15">
      <c r="A51" s="188" t="s">
        <v>103</v>
      </c>
      <c r="B51" s="188" t="s">
        <v>103</v>
      </c>
      <c r="C51" s="188" t="s">
        <v>103</v>
      </c>
      <c r="D51" s="188" t="s">
        <v>1110</v>
      </c>
      <c r="E51" s="188" t="s">
        <v>103</v>
      </c>
      <c r="F51" s="188" t="s">
        <v>103</v>
      </c>
      <c r="G51" s="188" t="s">
        <v>1110</v>
      </c>
      <c r="H51" s="188" t="s">
        <v>103</v>
      </c>
      <c r="I51" s="188" t="s">
        <v>1110</v>
      </c>
      <c r="J51" s="188" t="s">
        <v>1110</v>
      </c>
      <c r="K51" s="188" t="s">
        <v>1110</v>
      </c>
      <c r="L51" s="188" t="s">
        <v>1110</v>
      </c>
      <c r="M51" s="188" t="s">
        <v>1110</v>
      </c>
      <c r="N51" s="188" t="s">
        <v>1110</v>
      </c>
      <c r="O51" s="188" t="s">
        <v>1110</v>
      </c>
      <c r="P51" s="188" t="s">
        <v>1110</v>
      </c>
      <c r="Q51" s="188" t="s">
        <v>1110</v>
      </c>
      <c r="R51" s="188" t="s">
        <v>1110</v>
      </c>
      <c r="S51" s="188" t="s">
        <v>1110</v>
      </c>
      <c r="T51" s="188" t="s">
        <v>1110</v>
      </c>
      <c r="U51" s="188" t="s">
        <v>1110</v>
      </c>
      <c r="V51" s="188" t="s">
        <v>1110</v>
      </c>
      <c r="W51" s="188" t="s">
        <v>1110</v>
      </c>
    </row>
    <row r="52" spans="1:23" x14ac:dyDescent="0.15">
      <c r="A52" s="188" t="s">
        <v>1086</v>
      </c>
      <c r="B52" s="188" t="s">
        <v>1086</v>
      </c>
      <c r="C52" s="188" t="s">
        <v>1086</v>
      </c>
      <c r="D52" s="188" t="s">
        <v>1110</v>
      </c>
      <c r="E52" s="188" t="s">
        <v>1110</v>
      </c>
      <c r="F52" s="188" t="s">
        <v>1110</v>
      </c>
      <c r="G52" s="188" t="s">
        <v>1110</v>
      </c>
      <c r="H52" s="188" t="s">
        <v>1110</v>
      </c>
      <c r="I52" s="188" t="s">
        <v>1110</v>
      </c>
      <c r="J52" s="188" t="s">
        <v>1110</v>
      </c>
      <c r="K52" s="188" t="s">
        <v>1110</v>
      </c>
      <c r="L52" s="188" t="s">
        <v>1110</v>
      </c>
      <c r="M52" s="188" t="s">
        <v>1110</v>
      </c>
      <c r="N52" s="188" t="s">
        <v>1110</v>
      </c>
      <c r="O52" s="188" t="s">
        <v>1110</v>
      </c>
      <c r="P52" s="188" t="s">
        <v>1110</v>
      </c>
      <c r="Q52" s="188" t="s">
        <v>1110</v>
      </c>
      <c r="R52" s="188" t="s">
        <v>1110</v>
      </c>
      <c r="S52" s="188" t="s">
        <v>1110</v>
      </c>
      <c r="T52" s="188" t="s">
        <v>1110</v>
      </c>
      <c r="U52" s="188" t="s">
        <v>1110</v>
      </c>
      <c r="V52" s="188" t="s">
        <v>1110</v>
      </c>
      <c r="W52" s="188" t="s">
        <v>1110</v>
      </c>
    </row>
    <row r="53" spans="1:23" x14ac:dyDescent="0.15">
      <c r="A53" s="188" t="s">
        <v>389</v>
      </c>
      <c r="B53" s="188" t="s">
        <v>389</v>
      </c>
      <c r="C53" s="188" t="s">
        <v>389</v>
      </c>
      <c r="D53" s="188" t="s">
        <v>1110</v>
      </c>
      <c r="E53" s="188" t="s">
        <v>1110</v>
      </c>
      <c r="F53" s="188" t="s">
        <v>1110</v>
      </c>
      <c r="G53" s="188" t="s">
        <v>1110</v>
      </c>
      <c r="H53" s="188" t="s">
        <v>1110</v>
      </c>
      <c r="I53" s="188" t="s">
        <v>1110</v>
      </c>
      <c r="J53" s="188" t="s">
        <v>1110</v>
      </c>
      <c r="K53" s="188" t="s">
        <v>1110</v>
      </c>
      <c r="L53" s="188" t="s">
        <v>1110</v>
      </c>
      <c r="M53" s="188" t="s">
        <v>1110</v>
      </c>
      <c r="N53" s="188" t="s">
        <v>1110</v>
      </c>
      <c r="O53" s="188" t="s">
        <v>1110</v>
      </c>
      <c r="P53" s="188" t="s">
        <v>1110</v>
      </c>
      <c r="Q53" s="188" t="s">
        <v>1110</v>
      </c>
      <c r="R53" s="188" t="s">
        <v>1110</v>
      </c>
      <c r="S53" s="188" t="s">
        <v>1110</v>
      </c>
      <c r="T53" s="188" t="s">
        <v>1110</v>
      </c>
      <c r="U53" s="188" t="s">
        <v>1110</v>
      </c>
      <c r="V53" s="188" t="s">
        <v>1110</v>
      </c>
      <c r="W53" s="188" t="s">
        <v>1110</v>
      </c>
    </row>
  </sheetData>
  <sheetProtection formatColumns="0" formatRows="0"/>
  <phoneticPr fontId="0" type="noConversion"/>
  <printOptions gridLines="1"/>
  <pageMargins left="0.75" right="0.75" top="1" bottom="1" header="0.5" footer="0.5"/>
  <pageSetup scale="68" orientation="landscape" r:id="rId1"/>
  <headerFooter alignWithMargins="0">
    <oddFooter>&amp;LCDE, Public School Finance Unit&amp;C&amp;P&amp;RRevised, March 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AC65536"/>
  <sheetViews>
    <sheetView zoomScaleNormal="100" workbookViewId="0">
      <pane ySplit="10" topLeftCell="A11" activePane="bottomLeft" state="frozenSplit"/>
      <selection pane="bottomLeft" activeCell="T4" sqref="T4"/>
    </sheetView>
  </sheetViews>
  <sheetFormatPr defaultRowHeight="10.5" zeroHeight="1" x14ac:dyDescent="0.15"/>
  <cols>
    <col min="1" max="1" width="12.5" style="466" bestFit="1" customWidth="1"/>
    <col min="2" max="2" width="8" style="466" bestFit="1" customWidth="1"/>
    <col min="3" max="3" width="4.83203125" style="466" bestFit="1" customWidth="1"/>
    <col min="4" max="4" width="7.6640625" style="466" bestFit="1" customWidth="1"/>
    <col min="5" max="5" width="7.6640625" style="466" customWidth="1"/>
    <col min="6" max="6" width="6.5" style="466" bestFit="1" customWidth="1"/>
    <col min="7" max="8" width="6.5" style="466" customWidth="1"/>
    <col min="9" max="9" width="7" style="466" customWidth="1"/>
    <col min="10" max="10" width="27.5" style="398" customWidth="1"/>
    <col min="11" max="11" width="24.83203125" style="398" bestFit="1" customWidth="1"/>
    <col min="12" max="13" width="14.33203125" style="398" customWidth="1"/>
    <col min="14" max="14" width="19.1640625" style="468" customWidth="1"/>
    <col min="15" max="15" width="12" style="398" customWidth="1"/>
    <col min="16" max="16" width="12.33203125" style="398" customWidth="1"/>
    <col min="17" max="17" width="14" style="468" customWidth="1"/>
    <col min="18" max="18" width="12.33203125" style="471" customWidth="1"/>
    <col min="19" max="19" width="10.6640625" style="468" bestFit="1" customWidth="1"/>
    <col min="20" max="20" width="9.33203125" style="468"/>
    <col min="21" max="21" width="10.1640625" style="468" bestFit="1" customWidth="1"/>
    <col min="22" max="22" width="11.6640625" style="468" bestFit="1" customWidth="1"/>
    <col min="23" max="24" width="9.33203125" style="468"/>
    <col min="25" max="25" width="10.33203125" style="468" customWidth="1"/>
    <col min="26" max="26" width="10.6640625" style="468" bestFit="1" customWidth="1"/>
    <col min="27" max="27" width="12.83203125" style="471" customWidth="1"/>
    <col min="28" max="28" width="12.6640625" style="468" bestFit="1" customWidth="1"/>
    <col min="29" max="29" width="9.6640625" style="398" bestFit="1" customWidth="1"/>
    <col min="30" max="16384" width="9.33203125" style="398"/>
  </cols>
  <sheetData>
    <row r="1" spans="1:29" s="426" customFormat="1" ht="12.75" x14ac:dyDescent="0.2">
      <c r="A1" s="434" t="s">
        <v>106</v>
      </c>
      <c r="B1" s="435"/>
      <c r="C1" s="436">
        <f>+'Page 1 - FY2014-15'!B5</f>
        <v>0</v>
      </c>
      <c r="D1" s="437"/>
      <c r="E1" s="437"/>
      <c r="F1" s="437"/>
      <c r="G1" s="437"/>
      <c r="H1" s="438"/>
      <c r="I1" s="438"/>
      <c r="J1" s="138" t="s">
        <v>1586</v>
      </c>
      <c r="K1" s="428">
        <f>+'Page 1 - FY2014-15'!F7</f>
        <v>0</v>
      </c>
      <c r="L1" s="427"/>
      <c r="M1" s="427"/>
      <c r="N1" s="467"/>
      <c r="Q1" s="467"/>
      <c r="R1" s="476"/>
      <c r="S1" s="467"/>
      <c r="T1" s="467"/>
      <c r="U1" s="467"/>
      <c r="V1" s="467"/>
      <c r="W1" s="467"/>
      <c r="X1" s="467"/>
      <c r="Y1" s="467"/>
      <c r="Z1" s="467"/>
      <c r="AA1" s="476"/>
      <c r="AB1" s="467"/>
    </row>
    <row r="2" spans="1:29" x14ac:dyDescent="0.15">
      <c r="A2" s="439"/>
      <c r="B2" s="439"/>
      <c r="C2" s="439"/>
      <c r="D2" s="439"/>
      <c r="E2" s="439"/>
      <c r="F2" s="439"/>
      <c r="G2" s="439"/>
      <c r="H2" s="439"/>
      <c r="I2" s="439"/>
      <c r="J2" s="440"/>
      <c r="K2" s="440"/>
      <c r="L2" s="441"/>
      <c r="M2" s="441"/>
      <c r="O2" s="442"/>
      <c r="P2" s="443"/>
      <c r="Q2" s="471"/>
      <c r="V2" s="480"/>
      <c r="W2" s="471"/>
      <c r="X2" s="471"/>
      <c r="Y2" s="473"/>
      <c r="Z2" s="473"/>
    </row>
    <row r="3" spans="1:29" x14ac:dyDescent="0.15">
      <c r="A3" s="439"/>
      <c r="B3" s="445"/>
      <c r="C3" s="771"/>
      <c r="D3" s="771"/>
      <c r="E3" s="771"/>
      <c r="F3" s="771"/>
      <c r="G3" s="771"/>
      <c r="H3" s="771"/>
      <c r="I3" s="771"/>
      <c r="J3" s="440"/>
      <c r="K3" s="446"/>
      <c r="L3" s="447"/>
      <c r="M3" s="447"/>
      <c r="N3" s="469"/>
      <c r="O3" s="448"/>
      <c r="P3" s="444"/>
      <c r="Q3" s="471"/>
      <c r="S3" s="482">
        <v>0.10150000000000001</v>
      </c>
      <c r="T3" s="482">
        <v>7.9000000000000001E-2</v>
      </c>
      <c r="U3" s="482">
        <v>1.4500000000000001E-2</v>
      </c>
      <c r="V3" s="479">
        <v>300</v>
      </c>
      <c r="W3" s="474" t="s">
        <v>1098</v>
      </c>
      <c r="X3" s="474"/>
      <c r="Y3" s="475"/>
      <c r="Z3" s="475"/>
    </row>
    <row r="4" spans="1:29" x14ac:dyDescent="0.15">
      <c r="A4" s="449"/>
      <c r="B4" s="445"/>
      <c r="C4" s="450"/>
      <c r="D4" s="439"/>
      <c r="E4" s="439"/>
      <c r="F4" s="439"/>
      <c r="G4" s="439"/>
      <c r="H4" s="439"/>
      <c r="I4" s="439"/>
      <c r="J4" s="451"/>
      <c r="K4" s="452"/>
      <c r="L4" s="453" t="s">
        <v>1700</v>
      </c>
      <c r="M4" s="454"/>
      <c r="N4" s="469"/>
      <c r="O4" s="442"/>
      <c r="P4" s="455"/>
      <c r="S4" s="483">
        <v>0.10150000000000001</v>
      </c>
      <c r="T4" s="483">
        <v>7.9000000000000001E-2</v>
      </c>
      <c r="U4" s="483">
        <v>1.4500000000000001E-2</v>
      </c>
    </row>
    <row r="5" spans="1:29" x14ac:dyDescent="0.15">
      <c r="A5" s="456" t="s">
        <v>1389</v>
      </c>
      <c r="B5" s="456"/>
      <c r="C5" s="456"/>
      <c r="D5" s="456"/>
      <c r="E5" s="456"/>
      <c r="F5" s="456"/>
      <c r="G5" s="456"/>
      <c r="H5" s="456"/>
      <c r="I5" s="456"/>
      <c r="J5" s="440"/>
      <c r="K5" s="440"/>
      <c r="L5" s="457" t="s">
        <v>1367</v>
      </c>
      <c r="M5" s="457"/>
      <c r="N5" s="470"/>
      <c r="O5" s="442"/>
      <c r="P5" s="455"/>
      <c r="R5" s="772" t="s">
        <v>1660</v>
      </c>
      <c r="S5" s="773"/>
      <c r="T5" s="773"/>
      <c r="U5" s="773"/>
      <c r="V5" s="773"/>
      <c r="W5" s="773"/>
      <c r="X5" s="773"/>
      <c r="Y5" s="773"/>
      <c r="Z5" s="773"/>
      <c r="AA5" s="477" t="s">
        <v>1390</v>
      </c>
      <c r="AB5" s="470" t="s">
        <v>1211</v>
      </c>
    </row>
    <row r="6" spans="1:29" x14ac:dyDescent="0.15">
      <c r="A6" s="458"/>
      <c r="B6" s="439"/>
      <c r="C6" s="439"/>
      <c r="D6" s="439"/>
      <c r="E6" s="459" t="s">
        <v>1026</v>
      </c>
      <c r="F6" s="460" t="s">
        <v>1391</v>
      </c>
      <c r="G6" s="459" t="s">
        <v>1026</v>
      </c>
      <c r="H6" s="460" t="s">
        <v>1392</v>
      </c>
      <c r="I6" s="459" t="s">
        <v>1393</v>
      </c>
      <c r="J6" s="440"/>
      <c r="K6" s="440"/>
      <c r="L6" s="461" t="s">
        <v>1405</v>
      </c>
      <c r="M6" s="461" t="s">
        <v>1427</v>
      </c>
      <c r="N6" s="470" t="s">
        <v>1367</v>
      </c>
      <c r="O6" s="462" t="s">
        <v>1395</v>
      </c>
      <c r="P6" s="463" t="s">
        <v>1396</v>
      </c>
      <c r="Q6" s="470" t="s">
        <v>1397</v>
      </c>
      <c r="T6" s="470" t="s">
        <v>1394</v>
      </c>
      <c r="U6" s="470"/>
      <c r="AA6" s="477" t="s">
        <v>1398</v>
      </c>
      <c r="AB6" s="470" t="s">
        <v>1399</v>
      </c>
    </row>
    <row r="7" spans="1:29" x14ac:dyDescent="0.15">
      <c r="A7" s="459" t="s">
        <v>1480</v>
      </c>
      <c r="B7" s="460" t="s">
        <v>1400</v>
      </c>
      <c r="C7" s="460" t="s">
        <v>1401</v>
      </c>
      <c r="D7" s="460" t="s">
        <v>110</v>
      </c>
      <c r="E7" s="459" t="s">
        <v>110</v>
      </c>
      <c r="F7" s="460" t="s">
        <v>198</v>
      </c>
      <c r="G7" s="459" t="s">
        <v>198</v>
      </c>
      <c r="H7" s="460" t="s">
        <v>1402</v>
      </c>
      <c r="I7" s="459" t="s">
        <v>1403</v>
      </c>
      <c r="J7" s="464" t="s">
        <v>1404</v>
      </c>
      <c r="K7" s="464" t="s">
        <v>1399</v>
      </c>
      <c r="L7" s="461" t="s">
        <v>1428</v>
      </c>
      <c r="M7" s="461" t="s">
        <v>1406</v>
      </c>
      <c r="N7" s="470" t="s">
        <v>1407</v>
      </c>
      <c r="O7" s="462" t="s">
        <v>1414</v>
      </c>
      <c r="P7" s="463" t="s">
        <v>1415</v>
      </c>
      <c r="Q7" s="470" t="s">
        <v>1416</v>
      </c>
      <c r="R7" s="477" t="s">
        <v>1416</v>
      </c>
      <c r="S7" s="470" t="s">
        <v>1408</v>
      </c>
      <c r="T7" s="470" t="s">
        <v>1408</v>
      </c>
      <c r="U7" s="470" t="s">
        <v>1409</v>
      </c>
      <c r="V7" s="470" t="s">
        <v>1410</v>
      </c>
      <c r="W7" s="470" t="s">
        <v>1411</v>
      </c>
      <c r="X7" s="470" t="s">
        <v>1412</v>
      </c>
      <c r="Y7" s="470" t="s">
        <v>1413</v>
      </c>
      <c r="Z7" s="470" t="s">
        <v>1388</v>
      </c>
      <c r="AA7" s="477" t="s">
        <v>1417</v>
      </c>
      <c r="AB7" s="470" t="s">
        <v>1417</v>
      </c>
    </row>
    <row r="8" spans="1:29" ht="5.25" customHeight="1" x14ac:dyDescent="0.15">
      <c r="A8" s="458"/>
      <c r="B8" s="439"/>
      <c r="C8" s="439"/>
      <c r="D8" s="439"/>
      <c r="E8" s="458"/>
      <c r="F8" s="439"/>
      <c r="G8" s="458"/>
      <c r="H8" s="439"/>
      <c r="I8" s="458"/>
      <c r="J8" s="440"/>
      <c r="K8" s="440"/>
      <c r="L8" s="441"/>
      <c r="M8" s="441"/>
      <c r="O8" s="442"/>
      <c r="P8" s="455"/>
      <c r="R8" s="478"/>
      <c r="AA8" s="478"/>
    </row>
    <row r="9" spans="1:29" ht="13.5" customHeight="1" x14ac:dyDescent="0.15">
      <c r="A9" s="458"/>
      <c r="B9" s="439"/>
      <c r="C9" s="439"/>
      <c r="D9" s="439"/>
      <c r="E9" s="458"/>
      <c r="F9" s="439"/>
      <c r="G9" s="458"/>
      <c r="H9" s="439"/>
      <c r="I9" s="458"/>
      <c r="J9" s="440"/>
      <c r="K9" s="440"/>
      <c r="L9" s="441"/>
      <c r="M9" s="441"/>
      <c r="O9" s="442"/>
      <c r="P9" s="455"/>
      <c r="R9" s="478">
        <f t="shared" ref="R9:AB9" si="0">SUM(R11:R65536)</f>
        <v>0</v>
      </c>
      <c r="S9" s="472">
        <f t="shared" si="0"/>
        <v>0</v>
      </c>
      <c r="T9" s="472">
        <f t="shared" si="0"/>
        <v>0</v>
      </c>
      <c r="U9" s="472">
        <f t="shared" si="0"/>
        <v>0</v>
      </c>
      <c r="V9" s="472">
        <f t="shared" si="0"/>
        <v>0</v>
      </c>
      <c r="W9" s="472">
        <f t="shared" si="0"/>
        <v>0</v>
      </c>
      <c r="X9" s="472">
        <f t="shared" si="0"/>
        <v>0</v>
      </c>
      <c r="Y9" s="472">
        <f t="shared" si="0"/>
        <v>0</v>
      </c>
      <c r="Z9" s="472">
        <f t="shared" si="0"/>
        <v>0</v>
      </c>
      <c r="AA9" s="478">
        <f t="shared" si="0"/>
        <v>0</v>
      </c>
      <c r="AB9" s="472">
        <f t="shared" si="0"/>
        <v>0</v>
      </c>
      <c r="AC9" s="465" t="s">
        <v>26</v>
      </c>
    </row>
    <row r="10" spans="1:29" s="640" customFormat="1" ht="13.5" customHeight="1" thickBot="1" x14ac:dyDescent="0.2">
      <c r="A10" s="638" t="s">
        <v>302</v>
      </c>
      <c r="B10" s="638" t="s">
        <v>303</v>
      </c>
      <c r="C10" s="638" t="s">
        <v>304</v>
      </c>
      <c r="D10" s="638" t="s">
        <v>305</v>
      </c>
      <c r="E10" s="638" t="s">
        <v>306</v>
      </c>
      <c r="F10" s="638" t="s">
        <v>307</v>
      </c>
      <c r="G10" s="638" t="s">
        <v>308</v>
      </c>
      <c r="H10" s="638" t="s">
        <v>309</v>
      </c>
      <c r="I10" s="638" t="s">
        <v>310</v>
      </c>
      <c r="J10" s="638" t="s">
        <v>311</v>
      </c>
      <c r="K10" s="638" t="s">
        <v>312</v>
      </c>
      <c r="L10" s="638" t="s">
        <v>313</v>
      </c>
      <c r="M10" s="638" t="s">
        <v>314</v>
      </c>
      <c r="N10" s="639" t="s">
        <v>315</v>
      </c>
      <c r="O10" s="638" t="s">
        <v>316</v>
      </c>
      <c r="P10" s="638" t="s">
        <v>317</v>
      </c>
      <c r="Q10" s="639" t="s">
        <v>318</v>
      </c>
      <c r="R10" s="639" t="s">
        <v>319</v>
      </c>
      <c r="S10" s="639" t="s">
        <v>320</v>
      </c>
      <c r="T10" s="639" t="s">
        <v>321</v>
      </c>
      <c r="U10" s="639" t="s">
        <v>322</v>
      </c>
      <c r="V10" s="639" t="s">
        <v>323</v>
      </c>
      <c r="W10" s="639" t="s">
        <v>324</v>
      </c>
      <c r="X10" s="639" t="s">
        <v>325</v>
      </c>
      <c r="Y10" s="639" t="s">
        <v>326</v>
      </c>
      <c r="Z10" s="639" t="s">
        <v>327</v>
      </c>
      <c r="AA10" s="639" t="s">
        <v>328</v>
      </c>
      <c r="AB10" s="639" t="s">
        <v>329</v>
      </c>
      <c r="AC10" s="641"/>
    </row>
    <row r="11" spans="1:29" ht="11.25" thickTop="1" x14ac:dyDescent="0.15">
      <c r="A11" s="433"/>
      <c r="B11" s="606"/>
      <c r="C11" s="606"/>
      <c r="D11" s="606"/>
      <c r="E11" s="433"/>
      <c r="F11" s="606"/>
      <c r="G11" s="484" t="s">
        <v>1577</v>
      </c>
      <c r="H11" s="606"/>
      <c r="I11" s="433"/>
      <c r="J11" s="607"/>
      <c r="K11" s="607"/>
      <c r="L11" s="608"/>
      <c r="M11" s="608"/>
      <c r="N11" s="624">
        <f>VLOOKUP(M11,'Salary Schedule'!$B$16:$N$47,L11+1,FALSE)</f>
        <v>0</v>
      </c>
      <c r="O11" s="610"/>
      <c r="P11" s="481">
        <v>0</v>
      </c>
      <c r="Q11" s="609"/>
      <c r="R11" s="479">
        <f>ROUND((+N11*P11),0)</f>
        <v>0</v>
      </c>
      <c r="S11" s="479">
        <f t="shared" ref="S11:S75" si="1">+R11*$S$4</f>
        <v>0</v>
      </c>
      <c r="T11" s="479">
        <f t="shared" ref="T11:T69" si="2">+R11*$T$4</f>
        <v>0</v>
      </c>
      <c r="U11" s="479">
        <f t="shared" ref="U11:U69" si="3">+R11*$U$4</f>
        <v>0</v>
      </c>
      <c r="V11" s="479">
        <f t="shared" ref="V11:V69" si="4">($V$3*12)*P11</f>
        <v>0</v>
      </c>
      <c r="W11" s="479">
        <v>0</v>
      </c>
      <c r="X11" s="479">
        <v>0</v>
      </c>
      <c r="Y11" s="479">
        <v>0</v>
      </c>
      <c r="Z11" s="479">
        <v>0</v>
      </c>
      <c r="AA11" s="471">
        <f>ROUND((SUM(S11:Z11)),0)</f>
        <v>0</v>
      </c>
      <c r="AB11" s="471">
        <f>ROUND((+R11+AA11),0)</f>
        <v>0</v>
      </c>
    </row>
    <row r="12" spans="1:29" s="466" customFormat="1" x14ac:dyDescent="0.15">
      <c r="A12" s="433"/>
      <c r="B12" s="606"/>
      <c r="C12" s="606"/>
      <c r="D12" s="606"/>
      <c r="E12" s="433"/>
      <c r="F12" s="606"/>
      <c r="G12" s="484" t="s">
        <v>1577</v>
      </c>
      <c r="H12" s="606"/>
      <c r="I12" s="433"/>
      <c r="J12" s="607"/>
      <c r="K12" s="607"/>
      <c r="L12" s="608"/>
      <c r="M12" s="608"/>
      <c r="N12" s="624">
        <f>VLOOKUP(M12,'Salary Schedule'!$B$16:$N$47,L12+1,FALSE)</f>
        <v>0</v>
      </c>
      <c r="O12" s="610"/>
      <c r="P12" s="481">
        <v>0</v>
      </c>
      <c r="Q12" s="609"/>
      <c r="R12" s="479">
        <f t="shared" ref="R12:R75" si="5">ROUND((+N12*P12),0)</f>
        <v>0</v>
      </c>
      <c r="S12" s="479">
        <f t="shared" si="1"/>
        <v>0</v>
      </c>
      <c r="T12" s="479">
        <f t="shared" si="2"/>
        <v>0</v>
      </c>
      <c r="U12" s="479">
        <f t="shared" si="3"/>
        <v>0</v>
      </c>
      <c r="V12" s="479">
        <f t="shared" si="4"/>
        <v>0</v>
      </c>
      <c r="W12" s="479">
        <v>0</v>
      </c>
      <c r="X12" s="479">
        <v>0</v>
      </c>
      <c r="Y12" s="479">
        <v>0</v>
      </c>
      <c r="Z12" s="479">
        <v>0</v>
      </c>
      <c r="AA12" s="471">
        <f t="shared" ref="AA12:AA75" si="6">ROUND((SUM(S12:Z12)),0)</f>
        <v>0</v>
      </c>
      <c r="AB12" s="471">
        <f t="shared" ref="AB12:AB75" si="7">ROUND((+R12+AA12),0)</f>
        <v>0</v>
      </c>
    </row>
    <row r="13" spans="1:29" s="466" customFormat="1" x14ac:dyDescent="0.15">
      <c r="A13" s="433"/>
      <c r="B13" s="606"/>
      <c r="C13" s="606"/>
      <c r="D13" s="606"/>
      <c r="E13" s="433"/>
      <c r="F13" s="606"/>
      <c r="G13" s="484" t="s">
        <v>1577</v>
      </c>
      <c r="H13" s="606"/>
      <c r="I13" s="433"/>
      <c r="J13" s="607"/>
      <c r="K13" s="607"/>
      <c r="L13" s="608"/>
      <c r="M13" s="608"/>
      <c r="N13" s="624">
        <f>VLOOKUP(M13,'Salary Schedule'!$B$16:$N$47,L13+1,FALSE)</f>
        <v>0</v>
      </c>
      <c r="O13" s="610"/>
      <c r="P13" s="481">
        <v>0</v>
      </c>
      <c r="Q13" s="609"/>
      <c r="R13" s="479">
        <f t="shared" si="5"/>
        <v>0</v>
      </c>
      <c r="S13" s="479">
        <f t="shared" si="1"/>
        <v>0</v>
      </c>
      <c r="T13" s="479">
        <f t="shared" si="2"/>
        <v>0</v>
      </c>
      <c r="U13" s="479">
        <f t="shared" si="3"/>
        <v>0</v>
      </c>
      <c r="V13" s="479">
        <f t="shared" si="4"/>
        <v>0</v>
      </c>
      <c r="W13" s="479">
        <v>0</v>
      </c>
      <c r="X13" s="479">
        <v>0</v>
      </c>
      <c r="Y13" s="479">
        <v>0</v>
      </c>
      <c r="Z13" s="479">
        <v>0</v>
      </c>
      <c r="AA13" s="471">
        <f t="shared" si="6"/>
        <v>0</v>
      </c>
      <c r="AB13" s="471">
        <f t="shared" si="7"/>
        <v>0</v>
      </c>
    </row>
    <row r="14" spans="1:29" x14ac:dyDescent="0.15">
      <c r="A14" s="433"/>
      <c r="B14" s="606"/>
      <c r="C14" s="606"/>
      <c r="D14" s="606"/>
      <c r="E14" s="433"/>
      <c r="F14" s="606"/>
      <c r="G14" s="484" t="s">
        <v>1577</v>
      </c>
      <c r="H14" s="606"/>
      <c r="I14" s="433"/>
      <c r="J14" s="607"/>
      <c r="K14" s="607"/>
      <c r="L14" s="608"/>
      <c r="M14" s="608"/>
      <c r="N14" s="624">
        <f>VLOOKUP(M14,'Salary Schedule'!$B$16:$N$47,L14+1,FALSE)</f>
        <v>0</v>
      </c>
      <c r="O14" s="610"/>
      <c r="P14" s="481">
        <v>0</v>
      </c>
      <c r="Q14" s="609"/>
      <c r="R14" s="479">
        <f t="shared" si="5"/>
        <v>0</v>
      </c>
      <c r="S14" s="479">
        <f t="shared" si="1"/>
        <v>0</v>
      </c>
      <c r="T14" s="479">
        <f t="shared" si="2"/>
        <v>0</v>
      </c>
      <c r="U14" s="479">
        <f t="shared" si="3"/>
        <v>0</v>
      </c>
      <c r="V14" s="479">
        <f t="shared" si="4"/>
        <v>0</v>
      </c>
      <c r="W14" s="479">
        <v>0</v>
      </c>
      <c r="X14" s="479">
        <v>0</v>
      </c>
      <c r="Y14" s="479">
        <v>0</v>
      </c>
      <c r="Z14" s="479">
        <v>0</v>
      </c>
      <c r="AA14" s="471">
        <f t="shared" si="6"/>
        <v>0</v>
      </c>
      <c r="AB14" s="471">
        <f t="shared" si="7"/>
        <v>0</v>
      </c>
    </row>
    <row r="15" spans="1:29" x14ac:dyDescent="0.15">
      <c r="A15" s="433"/>
      <c r="B15" s="606"/>
      <c r="C15" s="606"/>
      <c r="D15" s="606"/>
      <c r="E15" s="433"/>
      <c r="F15" s="606"/>
      <c r="G15" s="484" t="s">
        <v>1577</v>
      </c>
      <c r="H15" s="606"/>
      <c r="I15" s="433"/>
      <c r="J15" s="607"/>
      <c r="K15" s="607"/>
      <c r="L15" s="608"/>
      <c r="M15" s="608"/>
      <c r="N15" s="624">
        <f>VLOOKUP(M15,'Salary Schedule'!$B$16:$N$47,L15+1,FALSE)</f>
        <v>0</v>
      </c>
      <c r="O15" s="610"/>
      <c r="P15" s="481">
        <v>0</v>
      </c>
      <c r="Q15" s="609"/>
      <c r="R15" s="479">
        <f t="shared" si="5"/>
        <v>0</v>
      </c>
      <c r="S15" s="479">
        <f t="shared" si="1"/>
        <v>0</v>
      </c>
      <c r="T15" s="479">
        <f t="shared" si="2"/>
        <v>0</v>
      </c>
      <c r="U15" s="479">
        <f t="shared" si="3"/>
        <v>0</v>
      </c>
      <c r="V15" s="479">
        <f t="shared" si="4"/>
        <v>0</v>
      </c>
      <c r="W15" s="479">
        <v>0</v>
      </c>
      <c r="X15" s="479">
        <v>0</v>
      </c>
      <c r="Y15" s="479">
        <v>0</v>
      </c>
      <c r="Z15" s="479">
        <v>0</v>
      </c>
      <c r="AA15" s="471">
        <f t="shared" si="6"/>
        <v>0</v>
      </c>
      <c r="AB15" s="471">
        <f t="shared" si="7"/>
        <v>0</v>
      </c>
    </row>
    <row r="16" spans="1:29" x14ac:dyDescent="0.15">
      <c r="A16" s="433"/>
      <c r="B16" s="606"/>
      <c r="C16" s="606"/>
      <c r="D16" s="606"/>
      <c r="E16" s="433"/>
      <c r="F16" s="606"/>
      <c r="G16" s="484" t="s">
        <v>1577</v>
      </c>
      <c r="H16" s="606"/>
      <c r="I16" s="433"/>
      <c r="J16" s="607"/>
      <c r="K16" s="607"/>
      <c r="L16" s="608"/>
      <c r="M16" s="608"/>
      <c r="N16" s="624">
        <f>VLOOKUP(M16,'Salary Schedule'!$B$16:$N$47,L16+1,FALSE)</f>
        <v>0</v>
      </c>
      <c r="O16" s="610"/>
      <c r="P16" s="481">
        <v>0</v>
      </c>
      <c r="Q16" s="609"/>
      <c r="R16" s="479">
        <f t="shared" si="5"/>
        <v>0</v>
      </c>
      <c r="S16" s="479">
        <f t="shared" si="1"/>
        <v>0</v>
      </c>
      <c r="T16" s="479">
        <f t="shared" si="2"/>
        <v>0</v>
      </c>
      <c r="U16" s="479">
        <f t="shared" si="3"/>
        <v>0</v>
      </c>
      <c r="V16" s="479">
        <f t="shared" si="4"/>
        <v>0</v>
      </c>
      <c r="W16" s="479">
        <v>0</v>
      </c>
      <c r="X16" s="479">
        <v>0</v>
      </c>
      <c r="Y16" s="479">
        <v>0</v>
      </c>
      <c r="Z16" s="479">
        <v>0</v>
      </c>
      <c r="AA16" s="471">
        <f t="shared" si="6"/>
        <v>0</v>
      </c>
      <c r="AB16" s="471">
        <f t="shared" si="7"/>
        <v>0</v>
      </c>
    </row>
    <row r="17" spans="1:28" x14ac:dyDescent="0.15">
      <c r="A17" s="433"/>
      <c r="B17" s="606"/>
      <c r="C17" s="606"/>
      <c r="D17" s="606"/>
      <c r="E17" s="433"/>
      <c r="F17" s="606"/>
      <c r="G17" s="484" t="s">
        <v>1577</v>
      </c>
      <c r="H17" s="606"/>
      <c r="I17" s="433"/>
      <c r="J17" s="607"/>
      <c r="K17" s="607"/>
      <c r="L17" s="608"/>
      <c r="M17" s="608"/>
      <c r="N17" s="624">
        <f>VLOOKUP(M17,'Salary Schedule'!$B$16:$N$47,L17+1,FALSE)</f>
        <v>0</v>
      </c>
      <c r="O17" s="610"/>
      <c r="P17" s="481">
        <v>0</v>
      </c>
      <c r="Q17" s="609"/>
      <c r="R17" s="479">
        <f t="shared" si="5"/>
        <v>0</v>
      </c>
      <c r="S17" s="479">
        <f t="shared" si="1"/>
        <v>0</v>
      </c>
      <c r="T17" s="479">
        <f t="shared" si="2"/>
        <v>0</v>
      </c>
      <c r="U17" s="479">
        <f t="shared" si="3"/>
        <v>0</v>
      </c>
      <c r="V17" s="479">
        <f t="shared" si="4"/>
        <v>0</v>
      </c>
      <c r="W17" s="479">
        <v>0</v>
      </c>
      <c r="X17" s="479">
        <v>0</v>
      </c>
      <c r="Y17" s="479">
        <v>0</v>
      </c>
      <c r="Z17" s="479">
        <v>0</v>
      </c>
      <c r="AA17" s="471">
        <f t="shared" si="6"/>
        <v>0</v>
      </c>
      <c r="AB17" s="471">
        <f t="shared" si="7"/>
        <v>0</v>
      </c>
    </row>
    <row r="18" spans="1:28" x14ac:dyDescent="0.15">
      <c r="A18" s="433"/>
      <c r="B18" s="606"/>
      <c r="C18" s="606"/>
      <c r="D18" s="606"/>
      <c r="E18" s="433"/>
      <c r="F18" s="606"/>
      <c r="G18" s="484" t="s">
        <v>1577</v>
      </c>
      <c r="H18" s="606"/>
      <c r="I18" s="433"/>
      <c r="J18" s="607"/>
      <c r="K18" s="607"/>
      <c r="L18" s="608"/>
      <c r="M18" s="608"/>
      <c r="N18" s="624">
        <f>VLOOKUP(M18,'Salary Schedule'!$B$16:$N$47,L18+1,FALSE)</f>
        <v>0</v>
      </c>
      <c r="O18" s="610"/>
      <c r="P18" s="481">
        <v>0</v>
      </c>
      <c r="Q18" s="609"/>
      <c r="R18" s="479">
        <f t="shared" si="5"/>
        <v>0</v>
      </c>
      <c r="S18" s="479">
        <f t="shared" si="1"/>
        <v>0</v>
      </c>
      <c r="T18" s="479">
        <f t="shared" si="2"/>
        <v>0</v>
      </c>
      <c r="U18" s="479">
        <f t="shared" si="3"/>
        <v>0</v>
      </c>
      <c r="V18" s="479">
        <f t="shared" si="4"/>
        <v>0</v>
      </c>
      <c r="W18" s="479">
        <v>0</v>
      </c>
      <c r="X18" s="479">
        <v>0</v>
      </c>
      <c r="Y18" s="479">
        <v>0</v>
      </c>
      <c r="Z18" s="479">
        <v>0</v>
      </c>
      <c r="AA18" s="471">
        <f t="shared" si="6"/>
        <v>0</v>
      </c>
      <c r="AB18" s="471">
        <f t="shared" si="7"/>
        <v>0</v>
      </c>
    </row>
    <row r="19" spans="1:28" x14ac:dyDescent="0.15">
      <c r="A19" s="433"/>
      <c r="B19" s="606"/>
      <c r="C19" s="606"/>
      <c r="D19" s="606"/>
      <c r="E19" s="433"/>
      <c r="F19" s="606"/>
      <c r="G19" s="484" t="s">
        <v>1577</v>
      </c>
      <c r="H19" s="606"/>
      <c r="I19" s="433"/>
      <c r="J19" s="607"/>
      <c r="K19" s="607"/>
      <c r="L19" s="608"/>
      <c r="M19" s="608"/>
      <c r="N19" s="624">
        <f>VLOOKUP(M19,'Salary Schedule'!$B$16:$N$47,L19+1,FALSE)</f>
        <v>0</v>
      </c>
      <c r="O19" s="610"/>
      <c r="P19" s="481">
        <v>0</v>
      </c>
      <c r="Q19" s="609"/>
      <c r="R19" s="479">
        <f t="shared" si="5"/>
        <v>0</v>
      </c>
      <c r="S19" s="479">
        <f t="shared" si="1"/>
        <v>0</v>
      </c>
      <c r="T19" s="479">
        <f t="shared" si="2"/>
        <v>0</v>
      </c>
      <c r="U19" s="479">
        <f t="shared" si="3"/>
        <v>0</v>
      </c>
      <c r="V19" s="479">
        <f t="shared" si="4"/>
        <v>0</v>
      </c>
      <c r="W19" s="479">
        <v>0</v>
      </c>
      <c r="X19" s="479">
        <v>0</v>
      </c>
      <c r="Y19" s="479">
        <v>0</v>
      </c>
      <c r="Z19" s="479">
        <v>0</v>
      </c>
      <c r="AA19" s="471">
        <f t="shared" si="6"/>
        <v>0</v>
      </c>
      <c r="AB19" s="471">
        <f t="shared" si="7"/>
        <v>0</v>
      </c>
    </row>
    <row r="20" spans="1:28" x14ac:dyDescent="0.15">
      <c r="A20" s="433"/>
      <c r="B20" s="606"/>
      <c r="C20" s="606"/>
      <c r="D20" s="606"/>
      <c r="E20" s="433"/>
      <c r="F20" s="606"/>
      <c r="G20" s="484" t="s">
        <v>1577</v>
      </c>
      <c r="H20" s="606"/>
      <c r="I20" s="433"/>
      <c r="J20" s="607"/>
      <c r="K20" s="607"/>
      <c r="L20" s="608"/>
      <c r="M20" s="608"/>
      <c r="N20" s="624">
        <f>VLOOKUP(M20,'Salary Schedule'!$B$16:$N$47,L20+1,FALSE)</f>
        <v>0</v>
      </c>
      <c r="O20" s="610"/>
      <c r="P20" s="481">
        <v>0</v>
      </c>
      <c r="Q20" s="609"/>
      <c r="R20" s="479">
        <f t="shared" si="5"/>
        <v>0</v>
      </c>
      <c r="S20" s="479">
        <f t="shared" si="1"/>
        <v>0</v>
      </c>
      <c r="T20" s="479">
        <f t="shared" si="2"/>
        <v>0</v>
      </c>
      <c r="U20" s="479">
        <f t="shared" si="3"/>
        <v>0</v>
      </c>
      <c r="V20" s="479">
        <f t="shared" si="4"/>
        <v>0</v>
      </c>
      <c r="W20" s="479">
        <v>0</v>
      </c>
      <c r="X20" s="479">
        <v>0</v>
      </c>
      <c r="Y20" s="479">
        <v>0</v>
      </c>
      <c r="Z20" s="479">
        <v>0</v>
      </c>
      <c r="AA20" s="471">
        <f t="shared" si="6"/>
        <v>0</v>
      </c>
      <c r="AB20" s="471">
        <f t="shared" si="7"/>
        <v>0</v>
      </c>
    </row>
    <row r="21" spans="1:28" x14ac:dyDescent="0.15">
      <c r="A21" s="433"/>
      <c r="B21" s="606"/>
      <c r="C21" s="606"/>
      <c r="D21" s="606"/>
      <c r="E21" s="433"/>
      <c r="F21" s="606"/>
      <c r="G21" s="484" t="s">
        <v>1577</v>
      </c>
      <c r="H21" s="606"/>
      <c r="I21" s="433"/>
      <c r="J21" s="607"/>
      <c r="K21" s="607"/>
      <c r="L21" s="608"/>
      <c r="M21" s="608"/>
      <c r="N21" s="624">
        <f>VLOOKUP(M21,'Salary Schedule'!$B$16:$N$47,L21+1,FALSE)</f>
        <v>0</v>
      </c>
      <c r="O21" s="610"/>
      <c r="P21" s="481">
        <v>0</v>
      </c>
      <c r="Q21" s="609"/>
      <c r="R21" s="479">
        <f t="shared" si="5"/>
        <v>0</v>
      </c>
      <c r="S21" s="479">
        <f t="shared" si="1"/>
        <v>0</v>
      </c>
      <c r="T21" s="479">
        <f t="shared" si="2"/>
        <v>0</v>
      </c>
      <c r="U21" s="479">
        <f t="shared" si="3"/>
        <v>0</v>
      </c>
      <c r="V21" s="479">
        <f t="shared" si="4"/>
        <v>0</v>
      </c>
      <c r="W21" s="479">
        <v>0</v>
      </c>
      <c r="X21" s="479">
        <v>0</v>
      </c>
      <c r="Y21" s="479">
        <v>0</v>
      </c>
      <c r="Z21" s="479">
        <v>0</v>
      </c>
      <c r="AA21" s="471">
        <f t="shared" si="6"/>
        <v>0</v>
      </c>
      <c r="AB21" s="471">
        <f t="shared" si="7"/>
        <v>0</v>
      </c>
    </row>
    <row r="22" spans="1:28" x14ac:dyDescent="0.15">
      <c r="A22" s="433"/>
      <c r="B22" s="606"/>
      <c r="C22" s="606"/>
      <c r="D22" s="606"/>
      <c r="E22" s="433"/>
      <c r="F22" s="606"/>
      <c r="G22" s="484" t="s">
        <v>1577</v>
      </c>
      <c r="H22" s="606"/>
      <c r="I22" s="433"/>
      <c r="J22" s="607"/>
      <c r="K22" s="607"/>
      <c r="L22" s="608"/>
      <c r="M22" s="608"/>
      <c r="N22" s="624">
        <f>VLOOKUP(M22,'Salary Schedule'!$B$16:$N$47,L22+1,FALSE)</f>
        <v>0</v>
      </c>
      <c r="O22" s="610"/>
      <c r="P22" s="481">
        <v>0</v>
      </c>
      <c r="Q22" s="609"/>
      <c r="R22" s="479">
        <f t="shared" si="5"/>
        <v>0</v>
      </c>
      <c r="S22" s="479">
        <f t="shared" si="1"/>
        <v>0</v>
      </c>
      <c r="T22" s="479">
        <f t="shared" si="2"/>
        <v>0</v>
      </c>
      <c r="U22" s="479">
        <f t="shared" si="3"/>
        <v>0</v>
      </c>
      <c r="V22" s="479">
        <f t="shared" si="4"/>
        <v>0</v>
      </c>
      <c r="W22" s="479">
        <v>0</v>
      </c>
      <c r="X22" s="479">
        <v>0</v>
      </c>
      <c r="Y22" s="479">
        <v>0</v>
      </c>
      <c r="Z22" s="479">
        <v>0</v>
      </c>
      <c r="AA22" s="471">
        <f t="shared" si="6"/>
        <v>0</v>
      </c>
      <c r="AB22" s="471">
        <f t="shared" si="7"/>
        <v>0</v>
      </c>
    </row>
    <row r="23" spans="1:28" x14ac:dyDescent="0.15">
      <c r="A23" s="433"/>
      <c r="B23" s="606"/>
      <c r="C23" s="606"/>
      <c r="D23" s="606"/>
      <c r="E23" s="433"/>
      <c r="F23" s="606"/>
      <c r="G23" s="484" t="s">
        <v>1577</v>
      </c>
      <c r="H23" s="606"/>
      <c r="I23" s="433"/>
      <c r="J23" s="607"/>
      <c r="K23" s="607"/>
      <c r="L23" s="608"/>
      <c r="M23" s="608"/>
      <c r="N23" s="624">
        <f>VLOOKUP(M23,'Salary Schedule'!$B$16:$N$47,L23+1,FALSE)</f>
        <v>0</v>
      </c>
      <c r="O23" s="610"/>
      <c r="P23" s="481">
        <v>0</v>
      </c>
      <c r="Q23" s="609"/>
      <c r="R23" s="479">
        <f t="shared" si="5"/>
        <v>0</v>
      </c>
      <c r="S23" s="479">
        <f t="shared" si="1"/>
        <v>0</v>
      </c>
      <c r="T23" s="479">
        <f t="shared" si="2"/>
        <v>0</v>
      </c>
      <c r="U23" s="479">
        <f t="shared" si="3"/>
        <v>0</v>
      </c>
      <c r="V23" s="479">
        <f t="shared" si="4"/>
        <v>0</v>
      </c>
      <c r="W23" s="479">
        <v>0</v>
      </c>
      <c r="X23" s="479">
        <v>0</v>
      </c>
      <c r="Y23" s="479">
        <v>0</v>
      </c>
      <c r="Z23" s="479">
        <v>0</v>
      </c>
      <c r="AA23" s="471">
        <f t="shared" si="6"/>
        <v>0</v>
      </c>
      <c r="AB23" s="471">
        <f t="shared" si="7"/>
        <v>0</v>
      </c>
    </row>
    <row r="24" spans="1:28" x14ac:dyDescent="0.15">
      <c r="A24" s="433"/>
      <c r="B24" s="606"/>
      <c r="C24" s="606"/>
      <c r="D24" s="606"/>
      <c r="E24" s="433"/>
      <c r="F24" s="606"/>
      <c r="G24" s="484" t="s">
        <v>1577</v>
      </c>
      <c r="H24" s="606"/>
      <c r="I24" s="433"/>
      <c r="J24" s="607"/>
      <c r="K24" s="607"/>
      <c r="L24" s="608"/>
      <c r="M24" s="608"/>
      <c r="N24" s="624">
        <f>VLOOKUP(M24,'Salary Schedule'!$B$16:$N$47,L24+1,FALSE)</f>
        <v>0</v>
      </c>
      <c r="O24" s="610"/>
      <c r="P24" s="481">
        <v>0</v>
      </c>
      <c r="Q24" s="609"/>
      <c r="R24" s="479">
        <f t="shared" si="5"/>
        <v>0</v>
      </c>
      <c r="S24" s="479">
        <f t="shared" si="1"/>
        <v>0</v>
      </c>
      <c r="T24" s="479">
        <f t="shared" si="2"/>
        <v>0</v>
      </c>
      <c r="U24" s="479">
        <f t="shared" si="3"/>
        <v>0</v>
      </c>
      <c r="V24" s="479">
        <f t="shared" si="4"/>
        <v>0</v>
      </c>
      <c r="W24" s="479">
        <v>0</v>
      </c>
      <c r="X24" s="479">
        <v>0</v>
      </c>
      <c r="Y24" s="479">
        <v>0</v>
      </c>
      <c r="Z24" s="479">
        <v>0</v>
      </c>
      <c r="AA24" s="471">
        <f t="shared" si="6"/>
        <v>0</v>
      </c>
      <c r="AB24" s="471">
        <f t="shared" si="7"/>
        <v>0</v>
      </c>
    </row>
    <row r="25" spans="1:28" x14ac:dyDescent="0.15">
      <c r="A25" s="433"/>
      <c r="B25" s="606"/>
      <c r="C25" s="606"/>
      <c r="D25" s="606"/>
      <c r="E25" s="433"/>
      <c r="F25" s="606"/>
      <c r="G25" s="484" t="s">
        <v>1577</v>
      </c>
      <c r="H25" s="606"/>
      <c r="I25" s="433"/>
      <c r="J25" s="607"/>
      <c r="K25" s="607"/>
      <c r="L25" s="608"/>
      <c r="M25" s="608"/>
      <c r="N25" s="624">
        <f>VLOOKUP(M25,'Salary Schedule'!$B$16:$N$47,L25+1,FALSE)</f>
        <v>0</v>
      </c>
      <c r="O25" s="610"/>
      <c r="P25" s="481">
        <v>0</v>
      </c>
      <c r="Q25" s="609"/>
      <c r="R25" s="479">
        <f t="shared" si="5"/>
        <v>0</v>
      </c>
      <c r="S25" s="479">
        <f t="shared" si="1"/>
        <v>0</v>
      </c>
      <c r="T25" s="479">
        <f t="shared" si="2"/>
        <v>0</v>
      </c>
      <c r="U25" s="479">
        <f t="shared" si="3"/>
        <v>0</v>
      </c>
      <c r="V25" s="479">
        <f t="shared" si="4"/>
        <v>0</v>
      </c>
      <c r="W25" s="479">
        <v>0</v>
      </c>
      <c r="X25" s="479">
        <v>0</v>
      </c>
      <c r="Y25" s="479">
        <v>0</v>
      </c>
      <c r="Z25" s="479">
        <v>0</v>
      </c>
      <c r="AA25" s="471">
        <f t="shared" si="6"/>
        <v>0</v>
      </c>
      <c r="AB25" s="471">
        <f t="shared" si="7"/>
        <v>0</v>
      </c>
    </row>
    <row r="26" spans="1:28" x14ac:dyDescent="0.15">
      <c r="A26" s="433"/>
      <c r="B26" s="606"/>
      <c r="C26" s="606"/>
      <c r="D26" s="606"/>
      <c r="E26" s="433"/>
      <c r="F26" s="606"/>
      <c r="G26" s="484" t="s">
        <v>1577</v>
      </c>
      <c r="H26" s="606"/>
      <c r="I26" s="433"/>
      <c r="J26" s="607"/>
      <c r="K26" s="607"/>
      <c r="L26" s="608"/>
      <c r="M26" s="608"/>
      <c r="N26" s="624">
        <f>VLOOKUP(M26,'Salary Schedule'!$B$16:$N$47,L26+1,FALSE)</f>
        <v>0</v>
      </c>
      <c r="O26" s="610"/>
      <c r="P26" s="481">
        <v>0</v>
      </c>
      <c r="Q26" s="609"/>
      <c r="R26" s="479">
        <f t="shared" si="5"/>
        <v>0</v>
      </c>
      <c r="S26" s="479">
        <f t="shared" si="1"/>
        <v>0</v>
      </c>
      <c r="T26" s="479">
        <f t="shared" si="2"/>
        <v>0</v>
      </c>
      <c r="U26" s="479">
        <f t="shared" si="3"/>
        <v>0</v>
      </c>
      <c r="V26" s="479">
        <f t="shared" si="4"/>
        <v>0</v>
      </c>
      <c r="W26" s="479">
        <v>0</v>
      </c>
      <c r="X26" s="479">
        <v>0</v>
      </c>
      <c r="Y26" s="479">
        <v>0</v>
      </c>
      <c r="Z26" s="479">
        <v>0</v>
      </c>
      <c r="AA26" s="471">
        <f t="shared" si="6"/>
        <v>0</v>
      </c>
      <c r="AB26" s="471">
        <f t="shared" si="7"/>
        <v>0</v>
      </c>
    </row>
    <row r="27" spans="1:28" x14ac:dyDescent="0.15">
      <c r="A27" s="433"/>
      <c r="B27" s="606"/>
      <c r="C27" s="606"/>
      <c r="D27" s="606"/>
      <c r="E27" s="433"/>
      <c r="F27" s="606"/>
      <c r="G27" s="484" t="s">
        <v>1577</v>
      </c>
      <c r="H27" s="606"/>
      <c r="I27" s="433"/>
      <c r="J27" s="607"/>
      <c r="K27" s="607"/>
      <c r="L27" s="608"/>
      <c r="M27" s="608"/>
      <c r="N27" s="624">
        <f>VLOOKUP(M27,'Salary Schedule'!$B$16:$N$47,L27+1,FALSE)</f>
        <v>0</v>
      </c>
      <c r="O27" s="610"/>
      <c r="P27" s="481">
        <v>0</v>
      </c>
      <c r="Q27" s="609"/>
      <c r="R27" s="479">
        <f t="shared" si="5"/>
        <v>0</v>
      </c>
      <c r="S27" s="479">
        <f t="shared" si="1"/>
        <v>0</v>
      </c>
      <c r="T27" s="479">
        <f t="shared" si="2"/>
        <v>0</v>
      </c>
      <c r="U27" s="479">
        <f t="shared" si="3"/>
        <v>0</v>
      </c>
      <c r="V27" s="479">
        <f t="shared" si="4"/>
        <v>0</v>
      </c>
      <c r="W27" s="479">
        <v>0</v>
      </c>
      <c r="X27" s="479">
        <v>0</v>
      </c>
      <c r="Y27" s="479">
        <v>0</v>
      </c>
      <c r="Z27" s="479">
        <v>0</v>
      </c>
      <c r="AA27" s="471">
        <f t="shared" si="6"/>
        <v>0</v>
      </c>
      <c r="AB27" s="471">
        <f t="shared" si="7"/>
        <v>0</v>
      </c>
    </row>
    <row r="28" spans="1:28" x14ac:dyDescent="0.15">
      <c r="A28" s="433"/>
      <c r="B28" s="606"/>
      <c r="C28" s="606"/>
      <c r="D28" s="606"/>
      <c r="E28" s="433"/>
      <c r="F28" s="606"/>
      <c r="G28" s="484" t="s">
        <v>1577</v>
      </c>
      <c r="H28" s="606"/>
      <c r="I28" s="433"/>
      <c r="J28" s="607"/>
      <c r="K28" s="607"/>
      <c r="L28" s="608"/>
      <c r="M28" s="608"/>
      <c r="N28" s="624">
        <f>VLOOKUP(M28,'Salary Schedule'!$B$16:$N$47,L28+1,FALSE)</f>
        <v>0</v>
      </c>
      <c r="O28" s="610"/>
      <c r="P28" s="481">
        <v>0</v>
      </c>
      <c r="Q28" s="609"/>
      <c r="R28" s="479">
        <f t="shared" si="5"/>
        <v>0</v>
      </c>
      <c r="S28" s="479">
        <f t="shared" si="1"/>
        <v>0</v>
      </c>
      <c r="T28" s="479">
        <f t="shared" si="2"/>
        <v>0</v>
      </c>
      <c r="U28" s="479">
        <f t="shared" si="3"/>
        <v>0</v>
      </c>
      <c r="V28" s="479">
        <f t="shared" si="4"/>
        <v>0</v>
      </c>
      <c r="W28" s="479">
        <v>0</v>
      </c>
      <c r="X28" s="479">
        <v>0</v>
      </c>
      <c r="Y28" s="479">
        <v>0</v>
      </c>
      <c r="Z28" s="479">
        <v>0</v>
      </c>
      <c r="AA28" s="471">
        <f t="shared" si="6"/>
        <v>0</v>
      </c>
      <c r="AB28" s="471">
        <f t="shared" si="7"/>
        <v>0</v>
      </c>
    </row>
    <row r="29" spans="1:28" x14ac:dyDescent="0.15">
      <c r="A29" s="433"/>
      <c r="B29" s="606"/>
      <c r="C29" s="606"/>
      <c r="D29" s="606"/>
      <c r="E29" s="433"/>
      <c r="F29" s="606"/>
      <c r="G29" s="484" t="s">
        <v>1577</v>
      </c>
      <c r="H29" s="606"/>
      <c r="I29" s="433"/>
      <c r="J29" s="607"/>
      <c r="K29" s="607"/>
      <c r="L29" s="608"/>
      <c r="M29" s="608"/>
      <c r="N29" s="624">
        <f>VLOOKUP(M29,'Salary Schedule'!$B$16:$N$47,L29+1,FALSE)</f>
        <v>0</v>
      </c>
      <c r="O29" s="610"/>
      <c r="P29" s="481">
        <v>0</v>
      </c>
      <c r="Q29" s="609"/>
      <c r="R29" s="479">
        <f t="shared" si="5"/>
        <v>0</v>
      </c>
      <c r="S29" s="479">
        <f t="shared" si="1"/>
        <v>0</v>
      </c>
      <c r="T29" s="479">
        <f t="shared" si="2"/>
        <v>0</v>
      </c>
      <c r="U29" s="479">
        <f t="shared" si="3"/>
        <v>0</v>
      </c>
      <c r="V29" s="479">
        <f t="shared" si="4"/>
        <v>0</v>
      </c>
      <c r="W29" s="479">
        <v>0</v>
      </c>
      <c r="X29" s="479">
        <v>0</v>
      </c>
      <c r="Y29" s="479">
        <v>0</v>
      </c>
      <c r="Z29" s="479">
        <v>0</v>
      </c>
      <c r="AA29" s="471">
        <f t="shared" si="6"/>
        <v>0</v>
      </c>
      <c r="AB29" s="471">
        <f t="shared" si="7"/>
        <v>0</v>
      </c>
    </row>
    <row r="30" spans="1:28" x14ac:dyDescent="0.15">
      <c r="A30" s="433"/>
      <c r="B30" s="606"/>
      <c r="C30" s="606"/>
      <c r="D30" s="606"/>
      <c r="E30" s="433"/>
      <c r="F30" s="606"/>
      <c r="G30" s="484" t="s">
        <v>1577</v>
      </c>
      <c r="H30" s="606"/>
      <c r="I30" s="433"/>
      <c r="J30" s="607"/>
      <c r="K30" s="607"/>
      <c r="L30" s="608"/>
      <c r="M30" s="608"/>
      <c r="N30" s="624">
        <f>VLOOKUP(M30,'Salary Schedule'!$B$16:$N$47,L30+1,FALSE)</f>
        <v>0</v>
      </c>
      <c r="O30" s="610"/>
      <c r="P30" s="481">
        <v>0</v>
      </c>
      <c r="Q30" s="609"/>
      <c r="R30" s="479">
        <f t="shared" si="5"/>
        <v>0</v>
      </c>
      <c r="S30" s="479">
        <f t="shared" si="1"/>
        <v>0</v>
      </c>
      <c r="T30" s="479">
        <f t="shared" si="2"/>
        <v>0</v>
      </c>
      <c r="U30" s="479">
        <f t="shared" si="3"/>
        <v>0</v>
      </c>
      <c r="V30" s="479">
        <f t="shared" si="4"/>
        <v>0</v>
      </c>
      <c r="W30" s="479">
        <v>0</v>
      </c>
      <c r="X30" s="479">
        <v>0</v>
      </c>
      <c r="Y30" s="479">
        <v>0</v>
      </c>
      <c r="Z30" s="479">
        <v>0</v>
      </c>
      <c r="AA30" s="471">
        <f t="shared" si="6"/>
        <v>0</v>
      </c>
      <c r="AB30" s="471">
        <f t="shared" si="7"/>
        <v>0</v>
      </c>
    </row>
    <row r="31" spans="1:28" x14ac:dyDescent="0.15">
      <c r="A31" s="433"/>
      <c r="B31" s="606"/>
      <c r="C31" s="606"/>
      <c r="D31" s="606"/>
      <c r="E31" s="433"/>
      <c r="F31" s="606"/>
      <c r="G31" s="484" t="s">
        <v>1577</v>
      </c>
      <c r="H31" s="606"/>
      <c r="I31" s="433"/>
      <c r="J31" s="607"/>
      <c r="K31" s="607"/>
      <c r="L31" s="608"/>
      <c r="M31" s="608"/>
      <c r="N31" s="624">
        <f>VLOOKUP(M31,'Salary Schedule'!$B$16:$N$47,L31+1,FALSE)</f>
        <v>0</v>
      </c>
      <c r="O31" s="610"/>
      <c r="P31" s="481">
        <v>0</v>
      </c>
      <c r="Q31" s="609"/>
      <c r="R31" s="479">
        <f t="shared" si="5"/>
        <v>0</v>
      </c>
      <c r="S31" s="479">
        <f t="shared" si="1"/>
        <v>0</v>
      </c>
      <c r="T31" s="479">
        <f t="shared" si="2"/>
        <v>0</v>
      </c>
      <c r="U31" s="479">
        <f t="shared" si="3"/>
        <v>0</v>
      </c>
      <c r="V31" s="479">
        <f t="shared" si="4"/>
        <v>0</v>
      </c>
      <c r="W31" s="479">
        <v>0</v>
      </c>
      <c r="X31" s="479">
        <v>0</v>
      </c>
      <c r="Y31" s="479">
        <v>0</v>
      </c>
      <c r="Z31" s="479">
        <v>0</v>
      </c>
      <c r="AA31" s="471">
        <f t="shared" si="6"/>
        <v>0</v>
      </c>
      <c r="AB31" s="471">
        <f t="shared" si="7"/>
        <v>0</v>
      </c>
    </row>
    <row r="32" spans="1:28" x14ac:dyDescent="0.15">
      <c r="A32" s="433"/>
      <c r="B32" s="606"/>
      <c r="C32" s="606"/>
      <c r="D32" s="606"/>
      <c r="E32" s="433"/>
      <c r="F32" s="606"/>
      <c r="G32" s="484" t="s">
        <v>1577</v>
      </c>
      <c r="H32" s="606"/>
      <c r="I32" s="433"/>
      <c r="J32" s="607"/>
      <c r="K32" s="607"/>
      <c r="L32" s="608"/>
      <c r="M32" s="608"/>
      <c r="N32" s="624">
        <f>VLOOKUP(M32,'Salary Schedule'!$B$16:$N$47,L32+1,FALSE)</f>
        <v>0</v>
      </c>
      <c r="O32" s="610"/>
      <c r="P32" s="481">
        <v>0</v>
      </c>
      <c r="Q32" s="609"/>
      <c r="R32" s="479">
        <f t="shared" si="5"/>
        <v>0</v>
      </c>
      <c r="S32" s="479">
        <f t="shared" si="1"/>
        <v>0</v>
      </c>
      <c r="T32" s="479">
        <f t="shared" si="2"/>
        <v>0</v>
      </c>
      <c r="U32" s="479">
        <f t="shared" si="3"/>
        <v>0</v>
      </c>
      <c r="V32" s="479">
        <f t="shared" si="4"/>
        <v>0</v>
      </c>
      <c r="W32" s="479">
        <v>0</v>
      </c>
      <c r="X32" s="479">
        <v>0</v>
      </c>
      <c r="Y32" s="479">
        <v>0</v>
      </c>
      <c r="Z32" s="479">
        <v>0</v>
      </c>
      <c r="AA32" s="471">
        <f t="shared" si="6"/>
        <v>0</v>
      </c>
      <c r="AB32" s="471">
        <f t="shared" si="7"/>
        <v>0</v>
      </c>
    </row>
    <row r="33" spans="1:28" x14ac:dyDescent="0.15">
      <c r="A33" s="433"/>
      <c r="B33" s="606"/>
      <c r="C33" s="606"/>
      <c r="D33" s="606"/>
      <c r="E33" s="433"/>
      <c r="F33" s="606"/>
      <c r="G33" s="484" t="s">
        <v>1577</v>
      </c>
      <c r="H33" s="606"/>
      <c r="I33" s="433"/>
      <c r="J33" s="607"/>
      <c r="K33" s="607"/>
      <c r="L33" s="608"/>
      <c r="M33" s="608"/>
      <c r="N33" s="624">
        <f>VLOOKUP(M33,'Salary Schedule'!$B$16:$N$47,L33+1,FALSE)</f>
        <v>0</v>
      </c>
      <c r="O33" s="610"/>
      <c r="P33" s="481">
        <v>0</v>
      </c>
      <c r="Q33" s="609"/>
      <c r="R33" s="479">
        <f t="shared" si="5"/>
        <v>0</v>
      </c>
      <c r="S33" s="479">
        <f t="shared" si="1"/>
        <v>0</v>
      </c>
      <c r="T33" s="479">
        <f t="shared" si="2"/>
        <v>0</v>
      </c>
      <c r="U33" s="479">
        <f t="shared" si="3"/>
        <v>0</v>
      </c>
      <c r="V33" s="479">
        <f t="shared" si="4"/>
        <v>0</v>
      </c>
      <c r="W33" s="479">
        <v>0</v>
      </c>
      <c r="X33" s="479">
        <v>0</v>
      </c>
      <c r="Y33" s="479">
        <v>0</v>
      </c>
      <c r="Z33" s="479">
        <v>0</v>
      </c>
      <c r="AA33" s="471">
        <f t="shared" si="6"/>
        <v>0</v>
      </c>
      <c r="AB33" s="471">
        <f t="shared" si="7"/>
        <v>0</v>
      </c>
    </row>
    <row r="34" spans="1:28" x14ac:dyDescent="0.15">
      <c r="A34" s="433"/>
      <c r="B34" s="606"/>
      <c r="C34" s="606"/>
      <c r="D34" s="606"/>
      <c r="E34" s="433"/>
      <c r="F34" s="606"/>
      <c r="G34" s="484" t="s">
        <v>1577</v>
      </c>
      <c r="H34" s="606"/>
      <c r="I34" s="433"/>
      <c r="J34" s="607"/>
      <c r="K34" s="607"/>
      <c r="L34" s="608"/>
      <c r="M34" s="608"/>
      <c r="N34" s="624">
        <f>VLOOKUP(M34,'Salary Schedule'!$B$16:$N$47,L34+1,FALSE)</f>
        <v>0</v>
      </c>
      <c r="O34" s="610"/>
      <c r="P34" s="481">
        <v>0</v>
      </c>
      <c r="Q34" s="609"/>
      <c r="R34" s="479">
        <f t="shared" si="5"/>
        <v>0</v>
      </c>
      <c r="S34" s="479">
        <f t="shared" si="1"/>
        <v>0</v>
      </c>
      <c r="T34" s="479">
        <f t="shared" si="2"/>
        <v>0</v>
      </c>
      <c r="U34" s="479">
        <f t="shared" si="3"/>
        <v>0</v>
      </c>
      <c r="V34" s="479">
        <f t="shared" si="4"/>
        <v>0</v>
      </c>
      <c r="W34" s="479">
        <v>0</v>
      </c>
      <c r="X34" s="479">
        <v>0</v>
      </c>
      <c r="Y34" s="479">
        <v>0</v>
      </c>
      <c r="Z34" s="479">
        <v>0</v>
      </c>
      <c r="AA34" s="471">
        <f t="shared" si="6"/>
        <v>0</v>
      </c>
      <c r="AB34" s="471">
        <f t="shared" si="7"/>
        <v>0</v>
      </c>
    </row>
    <row r="35" spans="1:28" x14ac:dyDescent="0.15">
      <c r="A35" s="433"/>
      <c r="B35" s="606"/>
      <c r="C35" s="606"/>
      <c r="D35" s="606"/>
      <c r="E35" s="433"/>
      <c r="F35" s="606"/>
      <c r="G35" s="484" t="s">
        <v>1577</v>
      </c>
      <c r="H35" s="606"/>
      <c r="I35" s="433"/>
      <c r="J35" s="607"/>
      <c r="K35" s="607"/>
      <c r="L35" s="608"/>
      <c r="M35" s="608"/>
      <c r="N35" s="624">
        <f>VLOOKUP(M35,'Salary Schedule'!$B$16:$N$47,L35+1,FALSE)</f>
        <v>0</v>
      </c>
      <c r="O35" s="610"/>
      <c r="P35" s="481">
        <v>0</v>
      </c>
      <c r="Q35" s="609"/>
      <c r="R35" s="479">
        <f t="shared" si="5"/>
        <v>0</v>
      </c>
      <c r="S35" s="479">
        <f t="shared" si="1"/>
        <v>0</v>
      </c>
      <c r="T35" s="479">
        <f t="shared" si="2"/>
        <v>0</v>
      </c>
      <c r="U35" s="479">
        <f t="shared" si="3"/>
        <v>0</v>
      </c>
      <c r="V35" s="479">
        <f t="shared" si="4"/>
        <v>0</v>
      </c>
      <c r="W35" s="479">
        <v>0</v>
      </c>
      <c r="X35" s="479">
        <v>0</v>
      </c>
      <c r="Y35" s="479">
        <v>0</v>
      </c>
      <c r="Z35" s="479">
        <v>0</v>
      </c>
      <c r="AA35" s="471">
        <f t="shared" si="6"/>
        <v>0</v>
      </c>
      <c r="AB35" s="471">
        <f t="shared" si="7"/>
        <v>0</v>
      </c>
    </row>
    <row r="36" spans="1:28" x14ac:dyDescent="0.15">
      <c r="A36" s="433"/>
      <c r="B36" s="606"/>
      <c r="C36" s="606"/>
      <c r="D36" s="606"/>
      <c r="E36" s="433"/>
      <c r="F36" s="606"/>
      <c r="G36" s="484" t="s">
        <v>1577</v>
      </c>
      <c r="H36" s="606"/>
      <c r="I36" s="433"/>
      <c r="J36" s="607"/>
      <c r="K36" s="607"/>
      <c r="L36" s="608"/>
      <c r="M36" s="608"/>
      <c r="N36" s="624">
        <f>VLOOKUP(M36,'Salary Schedule'!$B$16:$N$47,L36+1,FALSE)</f>
        <v>0</v>
      </c>
      <c r="O36" s="610"/>
      <c r="P36" s="481">
        <v>0</v>
      </c>
      <c r="Q36" s="609"/>
      <c r="R36" s="479">
        <f t="shared" si="5"/>
        <v>0</v>
      </c>
      <c r="S36" s="479">
        <f t="shared" si="1"/>
        <v>0</v>
      </c>
      <c r="T36" s="479">
        <f t="shared" si="2"/>
        <v>0</v>
      </c>
      <c r="U36" s="479">
        <f t="shared" si="3"/>
        <v>0</v>
      </c>
      <c r="V36" s="479">
        <f t="shared" si="4"/>
        <v>0</v>
      </c>
      <c r="W36" s="479">
        <v>0</v>
      </c>
      <c r="X36" s="479">
        <v>0</v>
      </c>
      <c r="Y36" s="479">
        <v>0</v>
      </c>
      <c r="Z36" s="479">
        <v>0</v>
      </c>
      <c r="AA36" s="471">
        <f t="shared" si="6"/>
        <v>0</v>
      </c>
      <c r="AB36" s="471">
        <f t="shared" si="7"/>
        <v>0</v>
      </c>
    </row>
    <row r="37" spans="1:28" x14ac:dyDescent="0.15">
      <c r="A37" s="433"/>
      <c r="B37" s="606"/>
      <c r="C37" s="606"/>
      <c r="D37" s="606"/>
      <c r="E37" s="433"/>
      <c r="F37" s="606"/>
      <c r="G37" s="484" t="s">
        <v>1577</v>
      </c>
      <c r="H37" s="606"/>
      <c r="I37" s="433"/>
      <c r="J37" s="607"/>
      <c r="K37" s="607"/>
      <c r="L37" s="608"/>
      <c r="M37" s="608"/>
      <c r="N37" s="624">
        <f>VLOOKUP(M37,'Salary Schedule'!$B$16:$N$47,L37+1,FALSE)</f>
        <v>0</v>
      </c>
      <c r="O37" s="610"/>
      <c r="P37" s="481">
        <v>0</v>
      </c>
      <c r="Q37" s="609"/>
      <c r="R37" s="479">
        <f t="shared" si="5"/>
        <v>0</v>
      </c>
      <c r="S37" s="479">
        <f t="shared" si="1"/>
        <v>0</v>
      </c>
      <c r="T37" s="479">
        <f t="shared" si="2"/>
        <v>0</v>
      </c>
      <c r="U37" s="479">
        <f t="shared" si="3"/>
        <v>0</v>
      </c>
      <c r="V37" s="479">
        <f t="shared" si="4"/>
        <v>0</v>
      </c>
      <c r="W37" s="479">
        <v>0</v>
      </c>
      <c r="X37" s="479">
        <v>0</v>
      </c>
      <c r="Y37" s="479">
        <v>0</v>
      </c>
      <c r="Z37" s="479">
        <v>0</v>
      </c>
      <c r="AA37" s="471">
        <f t="shared" si="6"/>
        <v>0</v>
      </c>
      <c r="AB37" s="471">
        <f t="shared" si="7"/>
        <v>0</v>
      </c>
    </row>
    <row r="38" spans="1:28" x14ac:dyDescent="0.15">
      <c r="A38" s="433"/>
      <c r="B38" s="606"/>
      <c r="C38" s="606"/>
      <c r="D38" s="606"/>
      <c r="E38" s="433"/>
      <c r="F38" s="606"/>
      <c r="G38" s="484" t="s">
        <v>1577</v>
      </c>
      <c r="H38" s="606"/>
      <c r="I38" s="433"/>
      <c r="J38" s="607"/>
      <c r="K38" s="607"/>
      <c r="L38" s="608"/>
      <c r="M38" s="608"/>
      <c r="N38" s="624">
        <f>VLOOKUP(M38,'Salary Schedule'!$B$16:$N$47,L38+1,FALSE)</f>
        <v>0</v>
      </c>
      <c r="O38" s="610"/>
      <c r="P38" s="481">
        <v>0</v>
      </c>
      <c r="Q38" s="609"/>
      <c r="R38" s="479">
        <f t="shared" si="5"/>
        <v>0</v>
      </c>
      <c r="S38" s="479">
        <f t="shared" si="1"/>
        <v>0</v>
      </c>
      <c r="T38" s="479">
        <f t="shared" si="2"/>
        <v>0</v>
      </c>
      <c r="U38" s="479">
        <f t="shared" si="3"/>
        <v>0</v>
      </c>
      <c r="V38" s="479">
        <f t="shared" si="4"/>
        <v>0</v>
      </c>
      <c r="W38" s="479">
        <v>0</v>
      </c>
      <c r="X38" s="479">
        <v>0</v>
      </c>
      <c r="Y38" s="479">
        <v>0</v>
      </c>
      <c r="Z38" s="479">
        <v>0</v>
      </c>
      <c r="AA38" s="471">
        <f t="shared" si="6"/>
        <v>0</v>
      </c>
      <c r="AB38" s="471">
        <f t="shared" si="7"/>
        <v>0</v>
      </c>
    </row>
    <row r="39" spans="1:28" x14ac:dyDescent="0.15">
      <c r="A39" s="433"/>
      <c r="B39" s="606"/>
      <c r="C39" s="606"/>
      <c r="D39" s="606"/>
      <c r="E39" s="433"/>
      <c r="F39" s="606"/>
      <c r="G39" s="484" t="s">
        <v>1577</v>
      </c>
      <c r="H39" s="606"/>
      <c r="I39" s="433"/>
      <c r="J39" s="607"/>
      <c r="K39" s="607"/>
      <c r="L39" s="608"/>
      <c r="M39" s="608"/>
      <c r="N39" s="624">
        <f>VLOOKUP(M39,'Salary Schedule'!$B$16:$N$47,L39+1,FALSE)</f>
        <v>0</v>
      </c>
      <c r="O39" s="610"/>
      <c r="P39" s="481">
        <v>0</v>
      </c>
      <c r="Q39" s="609"/>
      <c r="R39" s="479">
        <f t="shared" si="5"/>
        <v>0</v>
      </c>
      <c r="S39" s="479">
        <f t="shared" si="1"/>
        <v>0</v>
      </c>
      <c r="T39" s="479">
        <f t="shared" si="2"/>
        <v>0</v>
      </c>
      <c r="U39" s="479">
        <f t="shared" si="3"/>
        <v>0</v>
      </c>
      <c r="V39" s="479">
        <f t="shared" si="4"/>
        <v>0</v>
      </c>
      <c r="W39" s="479">
        <v>0</v>
      </c>
      <c r="X39" s="479">
        <v>0</v>
      </c>
      <c r="Y39" s="479">
        <v>0</v>
      </c>
      <c r="Z39" s="479">
        <v>0</v>
      </c>
      <c r="AA39" s="471">
        <f t="shared" si="6"/>
        <v>0</v>
      </c>
      <c r="AB39" s="471">
        <f t="shared" si="7"/>
        <v>0</v>
      </c>
    </row>
    <row r="40" spans="1:28" x14ac:dyDescent="0.15">
      <c r="A40" s="433"/>
      <c r="B40" s="606"/>
      <c r="C40" s="606"/>
      <c r="D40" s="606"/>
      <c r="E40" s="433"/>
      <c r="F40" s="606"/>
      <c r="G40" s="484" t="s">
        <v>1577</v>
      </c>
      <c r="H40" s="606"/>
      <c r="I40" s="433"/>
      <c r="J40" s="607"/>
      <c r="K40" s="607"/>
      <c r="L40" s="608"/>
      <c r="M40" s="608"/>
      <c r="N40" s="624">
        <f>VLOOKUP(M40,'Salary Schedule'!$B$16:$N$47,L40+1,FALSE)</f>
        <v>0</v>
      </c>
      <c r="O40" s="610"/>
      <c r="P40" s="481">
        <v>0</v>
      </c>
      <c r="Q40" s="609"/>
      <c r="R40" s="479">
        <f t="shared" si="5"/>
        <v>0</v>
      </c>
      <c r="S40" s="479">
        <f t="shared" si="1"/>
        <v>0</v>
      </c>
      <c r="T40" s="479">
        <f t="shared" si="2"/>
        <v>0</v>
      </c>
      <c r="U40" s="479">
        <f t="shared" si="3"/>
        <v>0</v>
      </c>
      <c r="V40" s="479">
        <f t="shared" si="4"/>
        <v>0</v>
      </c>
      <c r="W40" s="479">
        <v>0</v>
      </c>
      <c r="X40" s="479">
        <v>0</v>
      </c>
      <c r="Y40" s="479">
        <v>0</v>
      </c>
      <c r="Z40" s="479">
        <v>0</v>
      </c>
      <c r="AA40" s="471">
        <f t="shared" si="6"/>
        <v>0</v>
      </c>
      <c r="AB40" s="471">
        <f t="shared" si="7"/>
        <v>0</v>
      </c>
    </row>
    <row r="41" spans="1:28" x14ac:dyDescent="0.15">
      <c r="A41" s="433"/>
      <c r="B41" s="606"/>
      <c r="C41" s="606"/>
      <c r="D41" s="606"/>
      <c r="E41" s="433"/>
      <c r="F41" s="606"/>
      <c r="G41" s="484" t="s">
        <v>1577</v>
      </c>
      <c r="H41" s="606"/>
      <c r="I41" s="433"/>
      <c r="J41" s="607"/>
      <c r="K41" s="607"/>
      <c r="L41" s="608"/>
      <c r="M41" s="608"/>
      <c r="N41" s="624">
        <f>VLOOKUP(M41,'Salary Schedule'!$B$16:$N$47,L41+1,FALSE)</f>
        <v>0</v>
      </c>
      <c r="O41" s="610"/>
      <c r="P41" s="481">
        <v>0</v>
      </c>
      <c r="Q41" s="609"/>
      <c r="R41" s="479">
        <f t="shared" si="5"/>
        <v>0</v>
      </c>
      <c r="S41" s="479">
        <f t="shared" si="1"/>
        <v>0</v>
      </c>
      <c r="T41" s="479">
        <f t="shared" si="2"/>
        <v>0</v>
      </c>
      <c r="U41" s="479">
        <f t="shared" si="3"/>
        <v>0</v>
      </c>
      <c r="V41" s="479">
        <f t="shared" si="4"/>
        <v>0</v>
      </c>
      <c r="W41" s="479">
        <v>0</v>
      </c>
      <c r="X41" s="479">
        <v>0</v>
      </c>
      <c r="Y41" s="479">
        <v>0</v>
      </c>
      <c r="Z41" s="479">
        <v>0</v>
      </c>
      <c r="AA41" s="471">
        <f t="shared" si="6"/>
        <v>0</v>
      </c>
      <c r="AB41" s="471">
        <f t="shared" si="7"/>
        <v>0</v>
      </c>
    </row>
    <row r="42" spans="1:28" x14ac:dyDescent="0.15">
      <c r="A42" s="433"/>
      <c r="B42" s="606"/>
      <c r="C42" s="606"/>
      <c r="D42" s="606"/>
      <c r="E42" s="433"/>
      <c r="F42" s="606"/>
      <c r="G42" s="484" t="s">
        <v>1577</v>
      </c>
      <c r="H42" s="606"/>
      <c r="I42" s="433"/>
      <c r="J42" s="607"/>
      <c r="K42" s="607"/>
      <c r="L42" s="608"/>
      <c r="M42" s="608"/>
      <c r="N42" s="624">
        <f>VLOOKUP(M42,'Salary Schedule'!$B$16:$N$47,L42+1,FALSE)</f>
        <v>0</v>
      </c>
      <c r="O42" s="610"/>
      <c r="P42" s="481">
        <v>0</v>
      </c>
      <c r="Q42" s="609"/>
      <c r="R42" s="479">
        <f t="shared" si="5"/>
        <v>0</v>
      </c>
      <c r="S42" s="479">
        <f t="shared" si="1"/>
        <v>0</v>
      </c>
      <c r="T42" s="479">
        <f t="shared" si="2"/>
        <v>0</v>
      </c>
      <c r="U42" s="479">
        <f t="shared" si="3"/>
        <v>0</v>
      </c>
      <c r="V42" s="479">
        <f t="shared" si="4"/>
        <v>0</v>
      </c>
      <c r="W42" s="479">
        <v>0</v>
      </c>
      <c r="X42" s="479">
        <v>0</v>
      </c>
      <c r="Y42" s="479">
        <v>0</v>
      </c>
      <c r="Z42" s="479">
        <v>0</v>
      </c>
      <c r="AA42" s="471">
        <f t="shared" si="6"/>
        <v>0</v>
      </c>
      <c r="AB42" s="471">
        <f t="shared" si="7"/>
        <v>0</v>
      </c>
    </row>
    <row r="43" spans="1:28" x14ac:dyDescent="0.15">
      <c r="A43" s="433"/>
      <c r="B43" s="606"/>
      <c r="C43" s="606"/>
      <c r="D43" s="606"/>
      <c r="E43" s="433"/>
      <c r="F43" s="606"/>
      <c r="G43" s="484" t="s">
        <v>1577</v>
      </c>
      <c r="H43" s="606"/>
      <c r="I43" s="433"/>
      <c r="J43" s="607"/>
      <c r="K43" s="607"/>
      <c r="L43" s="608"/>
      <c r="M43" s="608"/>
      <c r="N43" s="624">
        <f>VLOOKUP(M43,'Salary Schedule'!$B$16:$N$47,L43+1,FALSE)</f>
        <v>0</v>
      </c>
      <c r="O43" s="610"/>
      <c r="P43" s="481">
        <v>0</v>
      </c>
      <c r="Q43" s="609"/>
      <c r="R43" s="479">
        <f t="shared" si="5"/>
        <v>0</v>
      </c>
      <c r="S43" s="479">
        <f t="shared" si="1"/>
        <v>0</v>
      </c>
      <c r="T43" s="479">
        <f t="shared" si="2"/>
        <v>0</v>
      </c>
      <c r="U43" s="479">
        <f t="shared" si="3"/>
        <v>0</v>
      </c>
      <c r="V43" s="479">
        <f t="shared" si="4"/>
        <v>0</v>
      </c>
      <c r="W43" s="479">
        <v>0</v>
      </c>
      <c r="X43" s="479">
        <v>0</v>
      </c>
      <c r="Y43" s="479">
        <v>0</v>
      </c>
      <c r="Z43" s="479">
        <v>0</v>
      </c>
      <c r="AA43" s="471">
        <f t="shared" si="6"/>
        <v>0</v>
      </c>
      <c r="AB43" s="471">
        <f t="shared" si="7"/>
        <v>0</v>
      </c>
    </row>
    <row r="44" spans="1:28" x14ac:dyDescent="0.15">
      <c r="A44" s="433"/>
      <c r="B44" s="606"/>
      <c r="C44" s="606"/>
      <c r="D44" s="606"/>
      <c r="E44" s="433"/>
      <c r="F44" s="606"/>
      <c r="G44" s="484" t="s">
        <v>1577</v>
      </c>
      <c r="H44" s="606"/>
      <c r="I44" s="433"/>
      <c r="J44" s="607"/>
      <c r="K44" s="607"/>
      <c r="L44" s="608"/>
      <c r="M44" s="608"/>
      <c r="N44" s="624">
        <f>VLOOKUP(M44,'Salary Schedule'!$B$16:$N$47,L44+1,FALSE)</f>
        <v>0</v>
      </c>
      <c r="O44" s="610"/>
      <c r="P44" s="481">
        <v>0</v>
      </c>
      <c r="Q44" s="609"/>
      <c r="R44" s="479">
        <f t="shared" si="5"/>
        <v>0</v>
      </c>
      <c r="S44" s="479">
        <f t="shared" si="1"/>
        <v>0</v>
      </c>
      <c r="T44" s="479">
        <f t="shared" si="2"/>
        <v>0</v>
      </c>
      <c r="U44" s="479">
        <f t="shared" si="3"/>
        <v>0</v>
      </c>
      <c r="V44" s="479">
        <f t="shared" si="4"/>
        <v>0</v>
      </c>
      <c r="W44" s="479">
        <v>0</v>
      </c>
      <c r="X44" s="479">
        <v>0</v>
      </c>
      <c r="Y44" s="479">
        <v>0</v>
      </c>
      <c r="Z44" s="479">
        <v>0</v>
      </c>
      <c r="AA44" s="471">
        <f t="shared" si="6"/>
        <v>0</v>
      </c>
      <c r="AB44" s="471">
        <f t="shared" si="7"/>
        <v>0</v>
      </c>
    </row>
    <row r="45" spans="1:28" x14ac:dyDescent="0.15">
      <c r="A45" s="433"/>
      <c r="B45" s="606"/>
      <c r="C45" s="606"/>
      <c r="D45" s="606"/>
      <c r="E45" s="433"/>
      <c r="F45" s="606"/>
      <c r="G45" s="484" t="s">
        <v>1577</v>
      </c>
      <c r="H45" s="606"/>
      <c r="I45" s="433"/>
      <c r="J45" s="607"/>
      <c r="K45" s="607"/>
      <c r="L45" s="608"/>
      <c r="M45" s="608"/>
      <c r="N45" s="624">
        <f>VLOOKUP(M45,'Salary Schedule'!$B$16:$N$47,L45+1,FALSE)</f>
        <v>0</v>
      </c>
      <c r="O45" s="610"/>
      <c r="P45" s="481">
        <v>0</v>
      </c>
      <c r="Q45" s="609"/>
      <c r="R45" s="479">
        <f t="shared" si="5"/>
        <v>0</v>
      </c>
      <c r="S45" s="479">
        <f t="shared" si="1"/>
        <v>0</v>
      </c>
      <c r="T45" s="479">
        <f t="shared" si="2"/>
        <v>0</v>
      </c>
      <c r="U45" s="479">
        <f t="shared" si="3"/>
        <v>0</v>
      </c>
      <c r="V45" s="479">
        <f t="shared" si="4"/>
        <v>0</v>
      </c>
      <c r="W45" s="479">
        <v>0</v>
      </c>
      <c r="X45" s="479">
        <v>0</v>
      </c>
      <c r="Y45" s="479">
        <v>0</v>
      </c>
      <c r="Z45" s="479">
        <v>0</v>
      </c>
      <c r="AA45" s="471">
        <f t="shared" si="6"/>
        <v>0</v>
      </c>
      <c r="AB45" s="471">
        <f t="shared" si="7"/>
        <v>0</v>
      </c>
    </row>
    <row r="46" spans="1:28" x14ac:dyDescent="0.15">
      <c r="A46" s="433"/>
      <c r="B46" s="606"/>
      <c r="C46" s="606"/>
      <c r="D46" s="606"/>
      <c r="E46" s="433"/>
      <c r="F46" s="606"/>
      <c r="G46" s="484" t="s">
        <v>1577</v>
      </c>
      <c r="H46" s="606"/>
      <c r="I46" s="433"/>
      <c r="J46" s="607"/>
      <c r="K46" s="607"/>
      <c r="L46" s="608"/>
      <c r="M46" s="608"/>
      <c r="N46" s="624">
        <f>VLOOKUP(M46,'Salary Schedule'!$B$16:$N$47,L46+1,FALSE)</f>
        <v>0</v>
      </c>
      <c r="O46" s="610"/>
      <c r="P46" s="481">
        <v>0</v>
      </c>
      <c r="Q46" s="609"/>
      <c r="R46" s="479">
        <f t="shared" si="5"/>
        <v>0</v>
      </c>
      <c r="S46" s="479">
        <f t="shared" si="1"/>
        <v>0</v>
      </c>
      <c r="T46" s="479">
        <f t="shared" si="2"/>
        <v>0</v>
      </c>
      <c r="U46" s="479">
        <f t="shared" si="3"/>
        <v>0</v>
      </c>
      <c r="V46" s="479">
        <f t="shared" si="4"/>
        <v>0</v>
      </c>
      <c r="W46" s="479">
        <v>0</v>
      </c>
      <c r="X46" s="479">
        <v>0</v>
      </c>
      <c r="Y46" s="479">
        <v>0</v>
      </c>
      <c r="Z46" s="479">
        <v>0</v>
      </c>
      <c r="AA46" s="471">
        <f t="shared" si="6"/>
        <v>0</v>
      </c>
      <c r="AB46" s="471">
        <f t="shared" si="7"/>
        <v>0</v>
      </c>
    </row>
    <row r="47" spans="1:28" x14ac:dyDescent="0.15">
      <c r="A47" s="433"/>
      <c r="B47" s="606"/>
      <c r="C47" s="606"/>
      <c r="D47" s="606"/>
      <c r="E47" s="433"/>
      <c r="F47" s="606"/>
      <c r="G47" s="484" t="s">
        <v>1577</v>
      </c>
      <c r="H47" s="606"/>
      <c r="I47" s="433"/>
      <c r="J47" s="607"/>
      <c r="K47" s="607"/>
      <c r="L47" s="608"/>
      <c r="M47" s="608"/>
      <c r="N47" s="624">
        <f>VLOOKUP(M47,'Salary Schedule'!$B$16:$N$47,L47+1,FALSE)</f>
        <v>0</v>
      </c>
      <c r="O47" s="610"/>
      <c r="P47" s="481">
        <v>0</v>
      </c>
      <c r="Q47" s="609"/>
      <c r="R47" s="479">
        <f t="shared" si="5"/>
        <v>0</v>
      </c>
      <c r="S47" s="479">
        <f t="shared" si="1"/>
        <v>0</v>
      </c>
      <c r="T47" s="479">
        <f t="shared" si="2"/>
        <v>0</v>
      </c>
      <c r="U47" s="479">
        <f t="shared" si="3"/>
        <v>0</v>
      </c>
      <c r="V47" s="479">
        <f t="shared" si="4"/>
        <v>0</v>
      </c>
      <c r="W47" s="479">
        <v>0</v>
      </c>
      <c r="X47" s="479">
        <v>0</v>
      </c>
      <c r="Y47" s="479">
        <v>0</v>
      </c>
      <c r="Z47" s="479">
        <v>0</v>
      </c>
      <c r="AA47" s="471">
        <f t="shared" si="6"/>
        <v>0</v>
      </c>
      <c r="AB47" s="471">
        <f t="shared" si="7"/>
        <v>0</v>
      </c>
    </row>
    <row r="48" spans="1:28" x14ac:dyDescent="0.15">
      <c r="A48" s="433"/>
      <c r="B48" s="606"/>
      <c r="C48" s="606"/>
      <c r="D48" s="606"/>
      <c r="E48" s="433"/>
      <c r="F48" s="606"/>
      <c r="G48" s="484" t="s">
        <v>1577</v>
      </c>
      <c r="H48" s="606"/>
      <c r="I48" s="433"/>
      <c r="J48" s="607"/>
      <c r="K48" s="607"/>
      <c r="L48" s="608"/>
      <c r="M48" s="608"/>
      <c r="N48" s="624">
        <f>VLOOKUP(M48,'Salary Schedule'!$B$16:$N$47,L48+1,FALSE)</f>
        <v>0</v>
      </c>
      <c r="O48" s="610"/>
      <c r="P48" s="481">
        <v>0</v>
      </c>
      <c r="Q48" s="609"/>
      <c r="R48" s="479">
        <f t="shared" si="5"/>
        <v>0</v>
      </c>
      <c r="S48" s="479">
        <f t="shared" si="1"/>
        <v>0</v>
      </c>
      <c r="T48" s="479">
        <f t="shared" si="2"/>
        <v>0</v>
      </c>
      <c r="U48" s="479">
        <f t="shared" si="3"/>
        <v>0</v>
      </c>
      <c r="V48" s="479">
        <f t="shared" si="4"/>
        <v>0</v>
      </c>
      <c r="W48" s="479">
        <v>0</v>
      </c>
      <c r="X48" s="479">
        <v>0</v>
      </c>
      <c r="Y48" s="479">
        <v>0</v>
      </c>
      <c r="Z48" s="479">
        <v>0</v>
      </c>
      <c r="AA48" s="471">
        <f t="shared" si="6"/>
        <v>0</v>
      </c>
      <c r="AB48" s="471">
        <f t="shared" si="7"/>
        <v>0</v>
      </c>
    </row>
    <row r="49" spans="1:28" x14ac:dyDescent="0.15">
      <c r="A49" s="433"/>
      <c r="B49" s="606"/>
      <c r="C49" s="606"/>
      <c r="D49" s="606"/>
      <c r="E49" s="433"/>
      <c r="F49" s="606"/>
      <c r="G49" s="484" t="s">
        <v>1577</v>
      </c>
      <c r="H49" s="606"/>
      <c r="I49" s="433"/>
      <c r="J49" s="607"/>
      <c r="K49" s="607"/>
      <c r="L49" s="608"/>
      <c r="M49" s="608"/>
      <c r="N49" s="624">
        <f>VLOOKUP(M49,'Salary Schedule'!$B$16:$N$47,L49+1,FALSE)</f>
        <v>0</v>
      </c>
      <c r="O49" s="610"/>
      <c r="P49" s="481">
        <v>0</v>
      </c>
      <c r="Q49" s="609"/>
      <c r="R49" s="479">
        <f t="shared" si="5"/>
        <v>0</v>
      </c>
      <c r="S49" s="479">
        <f t="shared" si="1"/>
        <v>0</v>
      </c>
      <c r="T49" s="479">
        <f t="shared" si="2"/>
        <v>0</v>
      </c>
      <c r="U49" s="479">
        <f t="shared" si="3"/>
        <v>0</v>
      </c>
      <c r="V49" s="479">
        <f t="shared" si="4"/>
        <v>0</v>
      </c>
      <c r="W49" s="479">
        <v>0</v>
      </c>
      <c r="X49" s="479">
        <v>0</v>
      </c>
      <c r="Y49" s="479">
        <v>0</v>
      </c>
      <c r="Z49" s="479">
        <v>0</v>
      </c>
      <c r="AA49" s="471">
        <f t="shared" si="6"/>
        <v>0</v>
      </c>
      <c r="AB49" s="471">
        <f t="shared" si="7"/>
        <v>0</v>
      </c>
    </row>
    <row r="50" spans="1:28" x14ac:dyDescent="0.15">
      <c r="A50" s="433"/>
      <c r="B50" s="606"/>
      <c r="C50" s="606"/>
      <c r="D50" s="606"/>
      <c r="E50" s="433"/>
      <c r="F50" s="606"/>
      <c r="G50" s="484" t="s">
        <v>1577</v>
      </c>
      <c r="H50" s="606"/>
      <c r="I50" s="433"/>
      <c r="J50" s="607"/>
      <c r="K50" s="607"/>
      <c r="L50" s="608"/>
      <c r="M50" s="608"/>
      <c r="N50" s="624">
        <f>VLOOKUP(M50,'Salary Schedule'!$B$16:$N$47,L50+1,FALSE)</f>
        <v>0</v>
      </c>
      <c r="O50" s="610"/>
      <c r="P50" s="481">
        <v>0</v>
      </c>
      <c r="Q50" s="609"/>
      <c r="R50" s="479">
        <f t="shared" si="5"/>
        <v>0</v>
      </c>
      <c r="S50" s="479">
        <f t="shared" si="1"/>
        <v>0</v>
      </c>
      <c r="T50" s="479">
        <f t="shared" si="2"/>
        <v>0</v>
      </c>
      <c r="U50" s="479">
        <f t="shared" si="3"/>
        <v>0</v>
      </c>
      <c r="V50" s="479">
        <f t="shared" si="4"/>
        <v>0</v>
      </c>
      <c r="W50" s="479">
        <v>0</v>
      </c>
      <c r="X50" s="479">
        <v>0</v>
      </c>
      <c r="Y50" s="479">
        <v>0</v>
      </c>
      <c r="Z50" s="479">
        <v>0</v>
      </c>
      <c r="AA50" s="471">
        <f t="shared" si="6"/>
        <v>0</v>
      </c>
      <c r="AB50" s="471">
        <f t="shared" si="7"/>
        <v>0</v>
      </c>
    </row>
    <row r="51" spans="1:28" x14ac:dyDescent="0.15">
      <c r="A51" s="433"/>
      <c r="B51" s="606"/>
      <c r="C51" s="606"/>
      <c r="D51" s="606"/>
      <c r="E51" s="433"/>
      <c r="F51" s="606"/>
      <c r="G51" s="484" t="s">
        <v>1577</v>
      </c>
      <c r="H51" s="606"/>
      <c r="I51" s="433"/>
      <c r="J51" s="607"/>
      <c r="K51" s="607"/>
      <c r="L51" s="608"/>
      <c r="M51" s="608"/>
      <c r="N51" s="624">
        <f>VLOOKUP(M51,'Salary Schedule'!$B$16:$N$47,L51+1,FALSE)</f>
        <v>0</v>
      </c>
      <c r="O51" s="610"/>
      <c r="P51" s="481">
        <v>0</v>
      </c>
      <c r="Q51" s="609"/>
      <c r="R51" s="479">
        <f t="shared" si="5"/>
        <v>0</v>
      </c>
      <c r="S51" s="479">
        <f t="shared" si="1"/>
        <v>0</v>
      </c>
      <c r="T51" s="479">
        <f t="shared" si="2"/>
        <v>0</v>
      </c>
      <c r="U51" s="479">
        <f t="shared" si="3"/>
        <v>0</v>
      </c>
      <c r="V51" s="479">
        <f t="shared" si="4"/>
        <v>0</v>
      </c>
      <c r="W51" s="479">
        <v>0</v>
      </c>
      <c r="X51" s="479">
        <v>0</v>
      </c>
      <c r="Y51" s="479">
        <v>0</v>
      </c>
      <c r="Z51" s="479">
        <v>0</v>
      </c>
      <c r="AA51" s="471">
        <f t="shared" si="6"/>
        <v>0</v>
      </c>
      <c r="AB51" s="471">
        <f t="shared" si="7"/>
        <v>0</v>
      </c>
    </row>
    <row r="52" spans="1:28" x14ac:dyDescent="0.15">
      <c r="A52" s="433"/>
      <c r="B52" s="606"/>
      <c r="C52" s="606"/>
      <c r="D52" s="606"/>
      <c r="E52" s="433"/>
      <c r="F52" s="606"/>
      <c r="G52" s="484" t="s">
        <v>1577</v>
      </c>
      <c r="H52" s="606"/>
      <c r="I52" s="433"/>
      <c r="J52" s="607"/>
      <c r="K52" s="607"/>
      <c r="L52" s="608"/>
      <c r="M52" s="608"/>
      <c r="N52" s="624">
        <f>VLOOKUP(M52,'Salary Schedule'!$B$16:$N$47,L52+1,FALSE)</f>
        <v>0</v>
      </c>
      <c r="O52" s="610"/>
      <c r="P52" s="481">
        <v>0</v>
      </c>
      <c r="Q52" s="609"/>
      <c r="R52" s="479">
        <f t="shared" si="5"/>
        <v>0</v>
      </c>
      <c r="S52" s="479">
        <f t="shared" si="1"/>
        <v>0</v>
      </c>
      <c r="T52" s="479">
        <f t="shared" si="2"/>
        <v>0</v>
      </c>
      <c r="U52" s="479">
        <f t="shared" si="3"/>
        <v>0</v>
      </c>
      <c r="V52" s="479">
        <f t="shared" si="4"/>
        <v>0</v>
      </c>
      <c r="W52" s="479">
        <v>0</v>
      </c>
      <c r="X52" s="479">
        <v>0</v>
      </c>
      <c r="Y52" s="479">
        <v>0</v>
      </c>
      <c r="Z52" s="479">
        <v>0</v>
      </c>
      <c r="AA52" s="471">
        <f t="shared" si="6"/>
        <v>0</v>
      </c>
      <c r="AB52" s="471">
        <f t="shared" si="7"/>
        <v>0</v>
      </c>
    </row>
    <row r="53" spans="1:28" x14ac:dyDescent="0.15">
      <c r="A53" s="433"/>
      <c r="B53" s="606"/>
      <c r="C53" s="606"/>
      <c r="D53" s="606"/>
      <c r="E53" s="433"/>
      <c r="F53" s="606"/>
      <c r="G53" s="484" t="s">
        <v>1577</v>
      </c>
      <c r="H53" s="606"/>
      <c r="I53" s="433"/>
      <c r="J53" s="607"/>
      <c r="K53" s="607"/>
      <c r="L53" s="608"/>
      <c r="M53" s="608"/>
      <c r="N53" s="624">
        <f>VLOOKUP(M53,'Salary Schedule'!$B$16:$N$47,L53+1,FALSE)</f>
        <v>0</v>
      </c>
      <c r="O53" s="610"/>
      <c r="P53" s="481">
        <v>0</v>
      </c>
      <c r="Q53" s="609"/>
      <c r="R53" s="479">
        <f t="shared" si="5"/>
        <v>0</v>
      </c>
      <c r="S53" s="479">
        <f t="shared" si="1"/>
        <v>0</v>
      </c>
      <c r="T53" s="479">
        <f t="shared" si="2"/>
        <v>0</v>
      </c>
      <c r="U53" s="479">
        <f t="shared" si="3"/>
        <v>0</v>
      </c>
      <c r="V53" s="479">
        <f t="shared" si="4"/>
        <v>0</v>
      </c>
      <c r="W53" s="479">
        <v>0</v>
      </c>
      <c r="X53" s="479">
        <v>0</v>
      </c>
      <c r="Y53" s="479">
        <v>0</v>
      </c>
      <c r="Z53" s="479">
        <v>0</v>
      </c>
      <c r="AA53" s="471">
        <f t="shared" si="6"/>
        <v>0</v>
      </c>
      <c r="AB53" s="471">
        <f t="shared" si="7"/>
        <v>0</v>
      </c>
    </row>
    <row r="54" spans="1:28" x14ac:dyDescent="0.15">
      <c r="A54" s="433"/>
      <c r="B54" s="606"/>
      <c r="C54" s="606"/>
      <c r="D54" s="606"/>
      <c r="E54" s="433"/>
      <c r="F54" s="606"/>
      <c r="G54" s="484" t="s">
        <v>1577</v>
      </c>
      <c r="H54" s="606"/>
      <c r="I54" s="433"/>
      <c r="J54" s="607"/>
      <c r="K54" s="607"/>
      <c r="L54" s="608"/>
      <c r="M54" s="608"/>
      <c r="N54" s="624">
        <f>VLOOKUP(M54,'Salary Schedule'!$B$16:$N$47,L54+1,FALSE)</f>
        <v>0</v>
      </c>
      <c r="O54" s="610"/>
      <c r="P54" s="481">
        <v>0</v>
      </c>
      <c r="Q54" s="609"/>
      <c r="R54" s="479">
        <f t="shared" si="5"/>
        <v>0</v>
      </c>
      <c r="S54" s="479">
        <f t="shared" si="1"/>
        <v>0</v>
      </c>
      <c r="T54" s="479">
        <f t="shared" si="2"/>
        <v>0</v>
      </c>
      <c r="U54" s="479">
        <f t="shared" si="3"/>
        <v>0</v>
      </c>
      <c r="V54" s="479">
        <f t="shared" si="4"/>
        <v>0</v>
      </c>
      <c r="W54" s="479">
        <v>0</v>
      </c>
      <c r="X54" s="479">
        <v>0</v>
      </c>
      <c r="Y54" s="479">
        <v>0</v>
      </c>
      <c r="Z54" s="479">
        <v>0</v>
      </c>
      <c r="AA54" s="471">
        <f t="shared" si="6"/>
        <v>0</v>
      </c>
      <c r="AB54" s="471">
        <f t="shared" si="7"/>
        <v>0</v>
      </c>
    </row>
    <row r="55" spans="1:28" x14ac:dyDescent="0.15">
      <c r="A55" s="433"/>
      <c r="B55" s="606"/>
      <c r="C55" s="606"/>
      <c r="D55" s="606"/>
      <c r="E55" s="433"/>
      <c r="F55" s="606"/>
      <c r="G55" s="484" t="s">
        <v>1577</v>
      </c>
      <c r="H55" s="606"/>
      <c r="I55" s="433"/>
      <c r="J55" s="607"/>
      <c r="K55" s="607"/>
      <c r="L55" s="608"/>
      <c r="M55" s="608"/>
      <c r="N55" s="624">
        <f>VLOOKUP(M55,'Salary Schedule'!$B$16:$N$47,L55+1,FALSE)</f>
        <v>0</v>
      </c>
      <c r="O55" s="610"/>
      <c r="P55" s="481">
        <v>0</v>
      </c>
      <c r="Q55" s="609"/>
      <c r="R55" s="479">
        <f t="shared" si="5"/>
        <v>0</v>
      </c>
      <c r="S55" s="479">
        <f t="shared" si="1"/>
        <v>0</v>
      </c>
      <c r="T55" s="479">
        <f t="shared" si="2"/>
        <v>0</v>
      </c>
      <c r="U55" s="479">
        <f t="shared" si="3"/>
        <v>0</v>
      </c>
      <c r="V55" s="479">
        <f t="shared" si="4"/>
        <v>0</v>
      </c>
      <c r="W55" s="479">
        <v>0</v>
      </c>
      <c r="X55" s="479">
        <v>0</v>
      </c>
      <c r="Y55" s="479">
        <v>0</v>
      </c>
      <c r="Z55" s="479">
        <v>0</v>
      </c>
      <c r="AA55" s="471">
        <f t="shared" si="6"/>
        <v>0</v>
      </c>
      <c r="AB55" s="471">
        <f t="shared" si="7"/>
        <v>0</v>
      </c>
    </row>
    <row r="56" spans="1:28" x14ac:dyDescent="0.15">
      <c r="A56" s="433"/>
      <c r="B56" s="606"/>
      <c r="C56" s="606"/>
      <c r="D56" s="606"/>
      <c r="E56" s="433"/>
      <c r="F56" s="606"/>
      <c r="G56" s="484" t="s">
        <v>1577</v>
      </c>
      <c r="H56" s="606"/>
      <c r="I56" s="433"/>
      <c r="J56" s="607"/>
      <c r="K56" s="607"/>
      <c r="L56" s="608"/>
      <c r="M56" s="608"/>
      <c r="N56" s="624">
        <f>VLOOKUP(M56,'Salary Schedule'!$B$16:$N$47,L56+1,FALSE)</f>
        <v>0</v>
      </c>
      <c r="O56" s="610"/>
      <c r="P56" s="481">
        <v>0</v>
      </c>
      <c r="Q56" s="609"/>
      <c r="R56" s="479">
        <f t="shared" si="5"/>
        <v>0</v>
      </c>
      <c r="S56" s="479">
        <f t="shared" si="1"/>
        <v>0</v>
      </c>
      <c r="T56" s="479">
        <f t="shared" si="2"/>
        <v>0</v>
      </c>
      <c r="U56" s="479">
        <f t="shared" si="3"/>
        <v>0</v>
      </c>
      <c r="V56" s="479">
        <f t="shared" si="4"/>
        <v>0</v>
      </c>
      <c r="W56" s="479">
        <v>0</v>
      </c>
      <c r="X56" s="479">
        <v>0</v>
      </c>
      <c r="Y56" s="479">
        <v>0</v>
      </c>
      <c r="Z56" s="479">
        <v>0</v>
      </c>
      <c r="AA56" s="471">
        <f t="shared" si="6"/>
        <v>0</v>
      </c>
      <c r="AB56" s="471">
        <f t="shared" si="7"/>
        <v>0</v>
      </c>
    </row>
    <row r="57" spans="1:28" x14ac:dyDescent="0.15">
      <c r="A57" s="433"/>
      <c r="B57" s="606"/>
      <c r="C57" s="606"/>
      <c r="D57" s="606"/>
      <c r="E57" s="433"/>
      <c r="F57" s="606"/>
      <c r="G57" s="484" t="s">
        <v>1577</v>
      </c>
      <c r="H57" s="606"/>
      <c r="I57" s="433"/>
      <c r="J57" s="607"/>
      <c r="K57" s="607"/>
      <c r="L57" s="608"/>
      <c r="M57" s="608"/>
      <c r="N57" s="624">
        <f>VLOOKUP(M57,'Salary Schedule'!$B$16:$N$47,L57+1,FALSE)</f>
        <v>0</v>
      </c>
      <c r="O57" s="610"/>
      <c r="P57" s="481">
        <v>0</v>
      </c>
      <c r="Q57" s="609"/>
      <c r="R57" s="479">
        <f t="shared" si="5"/>
        <v>0</v>
      </c>
      <c r="S57" s="479">
        <f t="shared" si="1"/>
        <v>0</v>
      </c>
      <c r="T57" s="479">
        <f t="shared" si="2"/>
        <v>0</v>
      </c>
      <c r="U57" s="479">
        <f t="shared" si="3"/>
        <v>0</v>
      </c>
      <c r="V57" s="479">
        <f t="shared" si="4"/>
        <v>0</v>
      </c>
      <c r="W57" s="479">
        <v>0</v>
      </c>
      <c r="X57" s="479">
        <v>0</v>
      </c>
      <c r="Y57" s="479">
        <v>0</v>
      </c>
      <c r="Z57" s="479">
        <v>0</v>
      </c>
      <c r="AA57" s="471">
        <f t="shared" si="6"/>
        <v>0</v>
      </c>
      <c r="AB57" s="471">
        <f t="shared" si="7"/>
        <v>0</v>
      </c>
    </row>
    <row r="58" spans="1:28" x14ac:dyDescent="0.15">
      <c r="A58" s="433"/>
      <c r="B58" s="606"/>
      <c r="C58" s="606"/>
      <c r="D58" s="606"/>
      <c r="E58" s="433"/>
      <c r="F58" s="606"/>
      <c r="G58" s="484" t="s">
        <v>1577</v>
      </c>
      <c r="H58" s="606"/>
      <c r="I58" s="433"/>
      <c r="J58" s="607"/>
      <c r="K58" s="607"/>
      <c r="L58" s="608"/>
      <c r="M58" s="608"/>
      <c r="N58" s="624">
        <f>VLOOKUP(M58,'Salary Schedule'!$B$16:$N$47,L58+1,FALSE)</f>
        <v>0</v>
      </c>
      <c r="O58" s="610"/>
      <c r="P58" s="481">
        <v>0</v>
      </c>
      <c r="Q58" s="609"/>
      <c r="R58" s="479">
        <f t="shared" si="5"/>
        <v>0</v>
      </c>
      <c r="S58" s="479">
        <f t="shared" si="1"/>
        <v>0</v>
      </c>
      <c r="T58" s="479">
        <f t="shared" si="2"/>
        <v>0</v>
      </c>
      <c r="U58" s="479">
        <f t="shared" si="3"/>
        <v>0</v>
      </c>
      <c r="V58" s="479">
        <f t="shared" si="4"/>
        <v>0</v>
      </c>
      <c r="W58" s="479">
        <v>0</v>
      </c>
      <c r="X58" s="479">
        <v>0</v>
      </c>
      <c r="Y58" s="479">
        <v>0</v>
      </c>
      <c r="Z58" s="479">
        <v>0</v>
      </c>
      <c r="AA58" s="471">
        <f t="shared" si="6"/>
        <v>0</v>
      </c>
      <c r="AB58" s="471">
        <f t="shared" si="7"/>
        <v>0</v>
      </c>
    </row>
    <row r="59" spans="1:28" x14ac:dyDescent="0.15">
      <c r="A59" s="433"/>
      <c r="B59" s="606"/>
      <c r="C59" s="606"/>
      <c r="D59" s="606"/>
      <c r="E59" s="433"/>
      <c r="F59" s="606"/>
      <c r="G59" s="484" t="s">
        <v>1577</v>
      </c>
      <c r="H59" s="606"/>
      <c r="I59" s="433"/>
      <c r="J59" s="607"/>
      <c r="K59" s="607"/>
      <c r="L59" s="608"/>
      <c r="M59" s="608"/>
      <c r="N59" s="624">
        <f>VLOOKUP(M59,'Salary Schedule'!$B$16:$N$47,L59+1,FALSE)</f>
        <v>0</v>
      </c>
      <c r="O59" s="610"/>
      <c r="P59" s="481">
        <v>0</v>
      </c>
      <c r="Q59" s="609"/>
      <c r="R59" s="479">
        <f t="shared" si="5"/>
        <v>0</v>
      </c>
      <c r="S59" s="479">
        <f t="shared" si="1"/>
        <v>0</v>
      </c>
      <c r="T59" s="479">
        <f t="shared" si="2"/>
        <v>0</v>
      </c>
      <c r="U59" s="479">
        <f t="shared" si="3"/>
        <v>0</v>
      </c>
      <c r="V59" s="479">
        <f t="shared" si="4"/>
        <v>0</v>
      </c>
      <c r="W59" s="479">
        <v>0</v>
      </c>
      <c r="X59" s="479">
        <v>0</v>
      </c>
      <c r="Y59" s="479">
        <v>0</v>
      </c>
      <c r="Z59" s="479">
        <v>0</v>
      </c>
      <c r="AA59" s="471">
        <f t="shared" si="6"/>
        <v>0</v>
      </c>
      <c r="AB59" s="471">
        <f t="shared" si="7"/>
        <v>0</v>
      </c>
    </row>
    <row r="60" spans="1:28" x14ac:dyDescent="0.15">
      <c r="A60" s="433"/>
      <c r="B60" s="606"/>
      <c r="C60" s="606"/>
      <c r="D60" s="606"/>
      <c r="E60" s="433"/>
      <c r="F60" s="606"/>
      <c r="G60" s="484" t="s">
        <v>1577</v>
      </c>
      <c r="H60" s="606"/>
      <c r="I60" s="433"/>
      <c r="J60" s="607"/>
      <c r="K60" s="607"/>
      <c r="L60" s="608"/>
      <c r="M60" s="608"/>
      <c r="N60" s="624">
        <f>VLOOKUP(M60,'Salary Schedule'!$B$16:$N$47,L60+1,FALSE)</f>
        <v>0</v>
      </c>
      <c r="O60" s="610"/>
      <c r="P60" s="481">
        <v>0</v>
      </c>
      <c r="Q60" s="609"/>
      <c r="R60" s="479">
        <f t="shared" si="5"/>
        <v>0</v>
      </c>
      <c r="S60" s="479">
        <f t="shared" si="1"/>
        <v>0</v>
      </c>
      <c r="T60" s="479">
        <f t="shared" si="2"/>
        <v>0</v>
      </c>
      <c r="U60" s="479">
        <f t="shared" si="3"/>
        <v>0</v>
      </c>
      <c r="V60" s="479">
        <f t="shared" si="4"/>
        <v>0</v>
      </c>
      <c r="W60" s="479">
        <v>0</v>
      </c>
      <c r="X60" s="479">
        <v>0</v>
      </c>
      <c r="Y60" s="479">
        <v>0</v>
      </c>
      <c r="Z60" s="479">
        <v>0</v>
      </c>
      <c r="AA60" s="471">
        <f t="shared" si="6"/>
        <v>0</v>
      </c>
      <c r="AB60" s="471">
        <f t="shared" si="7"/>
        <v>0</v>
      </c>
    </row>
    <row r="61" spans="1:28" x14ac:dyDescent="0.15">
      <c r="A61" s="433"/>
      <c r="B61" s="606"/>
      <c r="C61" s="606"/>
      <c r="D61" s="606"/>
      <c r="E61" s="433"/>
      <c r="F61" s="606"/>
      <c r="G61" s="484" t="s">
        <v>1577</v>
      </c>
      <c r="H61" s="606"/>
      <c r="I61" s="433"/>
      <c r="J61" s="607"/>
      <c r="K61" s="607"/>
      <c r="L61" s="608"/>
      <c r="M61" s="608"/>
      <c r="N61" s="624">
        <f>VLOOKUP(M61,'Salary Schedule'!$B$16:$N$47,L61+1,FALSE)</f>
        <v>0</v>
      </c>
      <c r="O61" s="610"/>
      <c r="P61" s="481">
        <v>0</v>
      </c>
      <c r="Q61" s="609"/>
      <c r="R61" s="479">
        <f t="shared" si="5"/>
        <v>0</v>
      </c>
      <c r="S61" s="479">
        <f t="shared" si="1"/>
        <v>0</v>
      </c>
      <c r="T61" s="479">
        <f t="shared" si="2"/>
        <v>0</v>
      </c>
      <c r="U61" s="479">
        <f t="shared" si="3"/>
        <v>0</v>
      </c>
      <c r="V61" s="479">
        <f t="shared" si="4"/>
        <v>0</v>
      </c>
      <c r="W61" s="479">
        <v>0</v>
      </c>
      <c r="X61" s="479">
        <v>0</v>
      </c>
      <c r="Y61" s="479">
        <v>0</v>
      </c>
      <c r="Z61" s="479">
        <v>0</v>
      </c>
      <c r="AA61" s="471">
        <f t="shared" si="6"/>
        <v>0</v>
      </c>
      <c r="AB61" s="471">
        <f t="shared" si="7"/>
        <v>0</v>
      </c>
    </row>
    <row r="62" spans="1:28" x14ac:dyDescent="0.15">
      <c r="A62" s="433"/>
      <c r="B62" s="606"/>
      <c r="C62" s="606"/>
      <c r="D62" s="606"/>
      <c r="E62" s="433"/>
      <c r="F62" s="606"/>
      <c r="G62" s="484" t="s">
        <v>1577</v>
      </c>
      <c r="H62" s="606"/>
      <c r="I62" s="433"/>
      <c r="J62" s="607"/>
      <c r="K62" s="607"/>
      <c r="L62" s="608"/>
      <c r="M62" s="608"/>
      <c r="N62" s="624">
        <f>VLOOKUP(M62,'Salary Schedule'!$B$16:$N$47,L62+1,FALSE)</f>
        <v>0</v>
      </c>
      <c r="O62" s="610"/>
      <c r="P62" s="481">
        <v>0</v>
      </c>
      <c r="Q62" s="609"/>
      <c r="R62" s="479">
        <f t="shared" si="5"/>
        <v>0</v>
      </c>
      <c r="S62" s="479">
        <f t="shared" si="1"/>
        <v>0</v>
      </c>
      <c r="T62" s="479">
        <f t="shared" si="2"/>
        <v>0</v>
      </c>
      <c r="U62" s="479">
        <f t="shared" si="3"/>
        <v>0</v>
      </c>
      <c r="V62" s="479">
        <f t="shared" si="4"/>
        <v>0</v>
      </c>
      <c r="W62" s="479">
        <v>0</v>
      </c>
      <c r="X62" s="479">
        <v>0</v>
      </c>
      <c r="Y62" s="479">
        <v>0</v>
      </c>
      <c r="Z62" s="479">
        <v>0</v>
      </c>
      <c r="AA62" s="471">
        <f t="shared" si="6"/>
        <v>0</v>
      </c>
      <c r="AB62" s="471">
        <f t="shared" si="7"/>
        <v>0</v>
      </c>
    </row>
    <row r="63" spans="1:28" x14ac:dyDescent="0.15">
      <c r="A63" s="433"/>
      <c r="B63" s="606"/>
      <c r="C63" s="606"/>
      <c r="D63" s="606"/>
      <c r="E63" s="433"/>
      <c r="F63" s="606"/>
      <c r="G63" s="484" t="s">
        <v>1577</v>
      </c>
      <c r="H63" s="606"/>
      <c r="I63" s="433"/>
      <c r="J63" s="607"/>
      <c r="K63" s="607"/>
      <c r="L63" s="608"/>
      <c r="M63" s="608"/>
      <c r="N63" s="624">
        <f>VLOOKUP(M63,'Salary Schedule'!$B$16:$N$47,L63+1,FALSE)</f>
        <v>0</v>
      </c>
      <c r="O63" s="610"/>
      <c r="P63" s="481">
        <v>0</v>
      </c>
      <c r="Q63" s="609"/>
      <c r="R63" s="479">
        <f t="shared" si="5"/>
        <v>0</v>
      </c>
      <c r="S63" s="479">
        <f t="shared" si="1"/>
        <v>0</v>
      </c>
      <c r="T63" s="479">
        <f t="shared" si="2"/>
        <v>0</v>
      </c>
      <c r="U63" s="479">
        <f t="shared" si="3"/>
        <v>0</v>
      </c>
      <c r="V63" s="479">
        <f t="shared" si="4"/>
        <v>0</v>
      </c>
      <c r="W63" s="479">
        <v>0</v>
      </c>
      <c r="X63" s="479">
        <v>0</v>
      </c>
      <c r="Y63" s="479">
        <v>0</v>
      </c>
      <c r="Z63" s="479">
        <v>0</v>
      </c>
      <c r="AA63" s="471">
        <f t="shared" si="6"/>
        <v>0</v>
      </c>
      <c r="AB63" s="471">
        <f t="shared" si="7"/>
        <v>0</v>
      </c>
    </row>
    <row r="64" spans="1:28" x14ac:dyDescent="0.15">
      <c r="A64" s="433"/>
      <c r="B64" s="606"/>
      <c r="C64" s="606"/>
      <c r="D64" s="606"/>
      <c r="E64" s="433"/>
      <c r="F64" s="606"/>
      <c r="G64" s="484" t="s">
        <v>1577</v>
      </c>
      <c r="H64" s="606"/>
      <c r="I64" s="433"/>
      <c r="J64" s="607"/>
      <c r="K64" s="607"/>
      <c r="L64" s="608"/>
      <c r="M64" s="608"/>
      <c r="N64" s="624">
        <f>VLOOKUP(M64,'Salary Schedule'!$B$16:$N$47,L64+1,FALSE)</f>
        <v>0</v>
      </c>
      <c r="O64" s="610"/>
      <c r="P64" s="481">
        <v>0</v>
      </c>
      <c r="Q64" s="609"/>
      <c r="R64" s="479">
        <f t="shared" si="5"/>
        <v>0</v>
      </c>
      <c r="S64" s="479">
        <f t="shared" si="1"/>
        <v>0</v>
      </c>
      <c r="T64" s="479">
        <f t="shared" si="2"/>
        <v>0</v>
      </c>
      <c r="U64" s="479">
        <f t="shared" si="3"/>
        <v>0</v>
      </c>
      <c r="V64" s="479">
        <f t="shared" si="4"/>
        <v>0</v>
      </c>
      <c r="W64" s="479">
        <v>0</v>
      </c>
      <c r="X64" s="479">
        <v>0</v>
      </c>
      <c r="Y64" s="479">
        <v>0</v>
      </c>
      <c r="Z64" s="479">
        <v>0</v>
      </c>
      <c r="AA64" s="471">
        <f t="shared" si="6"/>
        <v>0</v>
      </c>
      <c r="AB64" s="471">
        <f t="shared" si="7"/>
        <v>0</v>
      </c>
    </row>
    <row r="65" spans="1:28" x14ac:dyDescent="0.15">
      <c r="A65" s="433"/>
      <c r="B65" s="606"/>
      <c r="C65" s="606"/>
      <c r="D65" s="606"/>
      <c r="E65" s="433"/>
      <c r="F65" s="606"/>
      <c r="G65" s="484" t="s">
        <v>1577</v>
      </c>
      <c r="H65" s="606"/>
      <c r="I65" s="433"/>
      <c r="J65" s="607"/>
      <c r="K65" s="607"/>
      <c r="L65" s="608"/>
      <c r="M65" s="608"/>
      <c r="N65" s="624">
        <f>VLOOKUP(M65,'Salary Schedule'!$B$16:$N$47,L65+1,FALSE)</f>
        <v>0</v>
      </c>
      <c r="O65" s="610"/>
      <c r="P65" s="481">
        <v>0</v>
      </c>
      <c r="Q65" s="609"/>
      <c r="R65" s="479">
        <f t="shared" si="5"/>
        <v>0</v>
      </c>
      <c r="S65" s="479">
        <f t="shared" si="1"/>
        <v>0</v>
      </c>
      <c r="T65" s="479">
        <f t="shared" si="2"/>
        <v>0</v>
      </c>
      <c r="U65" s="479">
        <f t="shared" si="3"/>
        <v>0</v>
      </c>
      <c r="V65" s="479">
        <f t="shared" si="4"/>
        <v>0</v>
      </c>
      <c r="W65" s="479">
        <v>0</v>
      </c>
      <c r="X65" s="479">
        <v>0</v>
      </c>
      <c r="Y65" s="479">
        <v>0</v>
      </c>
      <c r="Z65" s="479">
        <v>0</v>
      </c>
      <c r="AA65" s="471">
        <f t="shared" si="6"/>
        <v>0</v>
      </c>
      <c r="AB65" s="471">
        <f t="shared" si="7"/>
        <v>0</v>
      </c>
    </row>
    <row r="66" spans="1:28" x14ac:dyDescent="0.15">
      <c r="A66" s="433"/>
      <c r="B66" s="606"/>
      <c r="C66" s="606"/>
      <c r="D66" s="606"/>
      <c r="E66" s="433"/>
      <c r="F66" s="606"/>
      <c r="G66" s="484" t="s">
        <v>1577</v>
      </c>
      <c r="H66" s="606"/>
      <c r="I66" s="433"/>
      <c r="J66" s="607"/>
      <c r="K66" s="607"/>
      <c r="L66" s="608"/>
      <c r="M66" s="608"/>
      <c r="N66" s="624">
        <f>VLOOKUP(M66,'Salary Schedule'!$B$16:$N$47,L66+1,FALSE)</f>
        <v>0</v>
      </c>
      <c r="O66" s="610"/>
      <c r="P66" s="481">
        <v>0</v>
      </c>
      <c r="Q66" s="609"/>
      <c r="R66" s="479">
        <f t="shared" si="5"/>
        <v>0</v>
      </c>
      <c r="S66" s="479">
        <f t="shared" si="1"/>
        <v>0</v>
      </c>
      <c r="T66" s="479">
        <f t="shared" si="2"/>
        <v>0</v>
      </c>
      <c r="U66" s="479">
        <f t="shared" si="3"/>
        <v>0</v>
      </c>
      <c r="V66" s="479">
        <f t="shared" si="4"/>
        <v>0</v>
      </c>
      <c r="W66" s="479">
        <v>0</v>
      </c>
      <c r="X66" s="479">
        <v>0</v>
      </c>
      <c r="Y66" s="479">
        <v>0</v>
      </c>
      <c r="Z66" s="479">
        <v>0</v>
      </c>
      <c r="AA66" s="471">
        <f t="shared" si="6"/>
        <v>0</v>
      </c>
      <c r="AB66" s="471">
        <f t="shared" si="7"/>
        <v>0</v>
      </c>
    </row>
    <row r="67" spans="1:28" x14ac:dyDescent="0.15">
      <c r="A67" s="433"/>
      <c r="B67" s="606"/>
      <c r="C67" s="606"/>
      <c r="D67" s="606"/>
      <c r="E67" s="433"/>
      <c r="F67" s="606"/>
      <c r="G67" s="484" t="s">
        <v>1577</v>
      </c>
      <c r="H67" s="606"/>
      <c r="I67" s="433"/>
      <c r="J67" s="607"/>
      <c r="K67" s="607"/>
      <c r="L67" s="608"/>
      <c r="M67" s="608"/>
      <c r="N67" s="624">
        <f>VLOOKUP(M67,'Salary Schedule'!$B$16:$N$47,L67+1,FALSE)</f>
        <v>0</v>
      </c>
      <c r="O67" s="610"/>
      <c r="P67" s="481">
        <v>0</v>
      </c>
      <c r="Q67" s="609"/>
      <c r="R67" s="479">
        <f t="shared" si="5"/>
        <v>0</v>
      </c>
      <c r="S67" s="479">
        <f t="shared" si="1"/>
        <v>0</v>
      </c>
      <c r="T67" s="479">
        <f t="shared" si="2"/>
        <v>0</v>
      </c>
      <c r="U67" s="479">
        <f t="shared" si="3"/>
        <v>0</v>
      </c>
      <c r="V67" s="479">
        <f t="shared" si="4"/>
        <v>0</v>
      </c>
      <c r="W67" s="479">
        <v>0</v>
      </c>
      <c r="X67" s="479">
        <v>0</v>
      </c>
      <c r="Y67" s="479">
        <v>0</v>
      </c>
      <c r="Z67" s="479">
        <v>0</v>
      </c>
      <c r="AA67" s="471">
        <f t="shared" si="6"/>
        <v>0</v>
      </c>
      <c r="AB67" s="471">
        <f t="shared" si="7"/>
        <v>0</v>
      </c>
    </row>
    <row r="68" spans="1:28" x14ac:dyDescent="0.15">
      <c r="A68" s="433"/>
      <c r="B68" s="606"/>
      <c r="C68" s="606"/>
      <c r="D68" s="606"/>
      <c r="E68" s="433"/>
      <c r="F68" s="606"/>
      <c r="G68" s="484" t="s">
        <v>1577</v>
      </c>
      <c r="H68" s="606"/>
      <c r="I68" s="433"/>
      <c r="J68" s="607"/>
      <c r="K68" s="607"/>
      <c r="L68" s="608"/>
      <c r="M68" s="608"/>
      <c r="N68" s="624">
        <f>VLOOKUP(M68,'Salary Schedule'!$B$16:$N$47,L68+1,FALSE)</f>
        <v>0</v>
      </c>
      <c r="O68" s="610"/>
      <c r="P68" s="481">
        <v>0</v>
      </c>
      <c r="Q68" s="609"/>
      <c r="R68" s="479">
        <f t="shared" si="5"/>
        <v>0</v>
      </c>
      <c r="S68" s="479">
        <f t="shared" si="1"/>
        <v>0</v>
      </c>
      <c r="T68" s="479">
        <f t="shared" si="2"/>
        <v>0</v>
      </c>
      <c r="U68" s="479">
        <f t="shared" si="3"/>
        <v>0</v>
      </c>
      <c r="V68" s="479">
        <f t="shared" si="4"/>
        <v>0</v>
      </c>
      <c r="W68" s="479">
        <v>0</v>
      </c>
      <c r="X68" s="479">
        <v>0</v>
      </c>
      <c r="Y68" s="479">
        <v>0</v>
      </c>
      <c r="Z68" s="479">
        <v>0</v>
      </c>
      <c r="AA68" s="471">
        <f t="shared" si="6"/>
        <v>0</v>
      </c>
      <c r="AB68" s="471">
        <f t="shared" si="7"/>
        <v>0</v>
      </c>
    </row>
    <row r="69" spans="1:28" x14ac:dyDescent="0.15">
      <c r="A69" s="433"/>
      <c r="B69" s="606"/>
      <c r="C69" s="606"/>
      <c r="D69" s="606"/>
      <c r="E69" s="433"/>
      <c r="F69" s="606"/>
      <c r="G69" s="484" t="s">
        <v>1577</v>
      </c>
      <c r="H69" s="606"/>
      <c r="I69" s="433"/>
      <c r="J69" s="607"/>
      <c r="K69" s="607"/>
      <c r="L69" s="608"/>
      <c r="M69" s="608"/>
      <c r="N69" s="624">
        <f>VLOOKUP(M69,'Salary Schedule'!$B$16:$N$47,L69+1,FALSE)</f>
        <v>0</v>
      </c>
      <c r="O69" s="610"/>
      <c r="P69" s="481">
        <v>0</v>
      </c>
      <c r="Q69" s="609"/>
      <c r="R69" s="479">
        <f t="shared" si="5"/>
        <v>0</v>
      </c>
      <c r="S69" s="479">
        <f t="shared" si="1"/>
        <v>0</v>
      </c>
      <c r="T69" s="479">
        <f t="shared" si="2"/>
        <v>0</v>
      </c>
      <c r="U69" s="479">
        <f t="shared" si="3"/>
        <v>0</v>
      </c>
      <c r="V69" s="479">
        <f t="shared" si="4"/>
        <v>0</v>
      </c>
      <c r="W69" s="479">
        <v>0</v>
      </c>
      <c r="X69" s="479">
        <v>0</v>
      </c>
      <c r="Y69" s="479">
        <v>0</v>
      </c>
      <c r="Z69" s="479">
        <v>0</v>
      </c>
      <c r="AA69" s="471">
        <f t="shared" si="6"/>
        <v>0</v>
      </c>
      <c r="AB69" s="471">
        <f t="shared" si="7"/>
        <v>0</v>
      </c>
    </row>
    <row r="70" spans="1:28" x14ac:dyDescent="0.15">
      <c r="A70" s="433"/>
      <c r="B70" s="606"/>
      <c r="C70" s="606"/>
      <c r="D70" s="606"/>
      <c r="E70" s="433"/>
      <c r="F70" s="606"/>
      <c r="G70" s="484" t="s">
        <v>1577</v>
      </c>
      <c r="H70" s="606"/>
      <c r="I70" s="433"/>
      <c r="J70" s="607"/>
      <c r="K70" s="607"/>
      <c r="L70" s="608"/>
      <c r="M70" s="608"/>
      <c r="N70" s="624">
        <f>VLOOKUP(M70,'Salary Schedule'!$B$16:$N$47,L70+1,FALSE)</f>
        <v>0</v>
      </c>
      <c r="O70" s="610"/>
      <c r="P70" s="481">
        <v>0</v>
      </c>
      <c r="Q70" s="609"/>
      <c r="R70" s="479">
        <f t="shared" si="5"/>
        <v>0</v>
      </c>
      <c r="S70" s="479">
        <f t="shared" si="1"/>
        <v>0</v>
      </c>
      <c r="T70" s="479">
        <f t="shared" ref="T70:T75" si="8">+R70*$T$4</f>
        <v>0</v>
      </c>
      <c r="U70" s="479">
        <f t="shared" ref="U70:U75" si="9">+R70*$U$4</f>
        <v>0</v>
      </c>
      <c r="V70" s="479">
        <f t="shared" ref="V70:V75" si="10">($V$3*12)*P70</f>
        <v>0</v>
      </c>
      <c r="W70" s="479">
        <v>0</v>
      </c>
      <c r="X70" s="479">
        <v>0</v>
      </c>
      <c r="Y70" s="479">
        <v>0</v>
      </c>
      <c r="Z70" s="479">
        <v>0</v>
      </c>
      <c r="AA70" s="471">
        <f t="shared" si="6"/>
        <v>0</v>
      </c>
      <c r="AB70" s="471">
        <f t="shared" si="7"/>
        <v>0</v>
      </c>
    </row>
    <row r="71" spans="1:28" x14ac:dyDescent="0.15">
      <c r="A71" s="433"/>
      <c r="B71" s="606"/>
      <c r="C71" s="606"/>
      <c r="D71" s="606"/>
      <c r="E71" s="433"/>
      <c r="F71" s="606"/>
      <c r="G71" s="484" t="s">
        <v>1577</v>
      </c>
      <c r="H71" s="606"/>
      <c r="I71" s="433"/>
      <c r="J71" s="607"/>
      <c r="K71" s="607"/>
      <c r="L71" s="608"/>
      <c r="M71" s="608"/>
      <c r="N71" s="624">
        <f>VLOOKUP(M71,'Salary Schedule'!$B$16:$N$47,L71+1,FALSE)</f>
        <v>0</v>
      </c>
      <c r="O71" s="610"/>
      <c r="P71" s="481">
        <v>0</v>
      </c>
      <c r="Q71" s="609"/>
      <c r="R71" s="479">
        <f t="shared" si="5"/>
        <v>0</v>
      </c>
      <c r="S71" s="479">
        <f t="shared" si="1"/>
        <v>0</v>
      </c>
      <c r="T71" s="479">
        <f t="shared" si="8"/>
        <v>0</v>
      </c>
      <c r="U71" s="479">
        <f t="shared" si="9"/>
        <v>0</v>
      </c>
      <c r="V71" s="479">
        <f t="shared" si="10"/>
        <v>0</v>
      </c>
      <c r="W71" s="479">
        <v>0</v>
      </c>
      <c r="X71" s="479">
        <v>0</v>
      </c>
      <c r="Y71" s="479">
        <v>0</v>
      </c>
      <c r="Z71" s="479">
        <v>0</v>
      </c>
      <c r="AA71" s="471">
        <f t="shared" si="6"/>
        <v>0</v>
      </c>
      <c r="AB71" s="471">
        <f t="shared" si="7"/>
        <v>0</v>
      </c>
    </row>
    <row r="72" spans="1:28" x14ac:dyDescent="0.15">
      <c r="A72" s="433"/>
      <c r="B72" s="606"/>
      <c r="C72" s="606"/>
      <c r="D72" s="606"/>
      <c r="E72" s="433"/>
      <c r="F72" s="606"/>
      <c r="G72" s="484" t="s">
        <v>1577</v>
      </c>
      <c r="H72" s="606"/>
      <c r="I72" s="433"/>
      <c r="J72" s="607"/>
      <c r="K72" s="607"/>
      <c r="L72" s="608"/>
      <c r="M72" s="608"/>
      <c r="N72" s="624">
        <f>VLOOKUP(M72,'Salary Schedule'!$B$16:$N$47,L72+1,FALSE)</f>
        <v>0</v>
      </c>
      <c r="O72" s="610"/>
      <c r="P72" s="481">
        <v>0</v>
      </c>
      <c r="Q72" s="609"/>
      <c r="R72" s="479">
        <f t="shared" si="5"/>
        <v>0</v>
      </c>
      <c r="S72" s="479">
        <f t="shared" si="1"/>
        <v>0</v>
      </c>
      <c r="T72" s="479">
        <f t="shared" si="8"/>
        <v>0</v>
      </c>
      <c r="U72" s="479">
        <f t="shared" si="9"/>
        <v>0</v>
      </c>
      <c r="V72" s="479">
        <f t="shared" si="10"/>
        <v>0</v>
      </c>
      <c r="W72" s="479">
        <v>0</v>
      </c>
      <c r="X72" s="479">
        <v>0</v>
      </c>
      <c r="Y72" s="479">
        <v>0</v>
      </c>
      <c r="Z72" s="479">
        <v>0</v>
      </c>
      <c r="AA72" s="471">
        <f t="shared" si="6"/>
        <v>0</v>
      </c>
      <c r="AB72" s="471">
        <f t="shared" si="7"/>
        <v>0</v>
      </c>
    </row>
    <row r="73" spans="1:28" x14ac:dyDescent="0.15">
      <c r="A73" s="433"/>
      <c r="B73" s="606"/>
      <c r="C73" s="606"/>
      <c r="D73" s="606"/>
      <c r="E73" s="433"/>
      <c r="F73" s="606"/>
      <c r="G73" s="484" t="s">
        <v>1577</v>
      </c>
      <c r="H73" s="606"/>
      <c r="I73" s="433"/>
      <c r="J73" s="607"/>
      <c r="K73" s="607"/>
      <c r="L73" s="608"/>
      <c r="M73" s="608"/>
      <c r="N73" s="624">
        <f>VLOOKUP(M73,'Salary Schedule'!$B$16:$N$47,L73+1,FALSE)</f>
        <v>0</v>
      </c>
      <c r="O73" s="610"/>
      <c r="P73" s="481">
        <v>0</v>
      </c>
      <c r="Q73" s="609"/>
      <c r="R73" s="479">
        <f t="shared" si="5"/>
        <v>0</v>
      </c>
      <c r="S73" s="479">
        <f t="shared" si="1"/>
        <v>0</v>
      </c>
      <c r="T73" s="479">
        <f t="shared" si="8"/>
        <v>0</v>
      </c>
      <c r="U73" s="479">
        <f t="shared" si="9"/>
        <v>0</v>
      </c>
      <c r="V73" s="479">
        <f t="shared" si="10"/>
        <v>0</v>
      </c>
      <c r="W73" s="479">
        <v>0</v>
      </c>
      <c r="X73" s="479">
        <v>0</v>
      </c>
      <c r="Y73" s="479">
        <v>0</v>
      </c>
      <c r="Z73" s="479">
        <v>0</v>
      </c>
      <c r="AA73" s="471">
        <f t="shared" si="6"/>
        <v>0</v>
      </c>
      <c r="AB73" s="471">
        <f t="shared" si="7"/>
        <v>0</v>
      </c>
    </row>
    <row r="74" spans="1:28" x14ac:dyDescent="0.15">
      <c r="A74" s="433"/>
      <c r="B74" s="606"/>
      <c r="C74" s="606"/>
      <c r="D74" s="606"/>
      <c r="E74" s="433"/>
      <c r="F74" s="606"/>
      <c r="G74" s="484" t="s">
        <v>1577</v>
      </c>
      <c r="H74" s="606"/>
      <c r="I74" s="433"/>
      <c r="J74" s="607"/>
      <c r="K74" s="607"/>
      <c r="L74" s="608"/>
      <c r="M74" s="608"/>
      <c r="N74" s="624">
        <f>VLOOKUP(M74,'Salary Schedule'!$B$16:$N$47,L74+1,FALSE)</f>
        <v>0</v>
      </c>
      <c r="O74" s="610"/>
      <c r="P74" s="481">
        <v>0</v>
      </c>
      <c r="Q74" s="609"/>
      <c r="R74" s="479">
        <f t="shared" si="5"/>
        <v>0</v>
      </c>
      <c r="S74" s="479">
        <f t="shared" si="1"/>
        <v>0</v>
      </c>
      <c r="T74" s="479">
        <f t="shared" si="8"/>
        <v>0</v>
      </c>
      <c r="U74" s="479">
        <f t="shared" si="9"/>
        <v>0</v>
      </c>
      <c r="V74" s="479">
        <f t="shared" si="10"/>
        <v>0</v>
      </c>
      <c r="W74" s="479">
        <v>0</v>
      </c>
      <c r="X74" s="479">
        <v>0</v>
      </c>
      <c r="Y74" s="479">
        <v>0</v>
      </c>
      <c r="Z74" s="479">
        <v>0</v>
      </c>
      <c r="AA74" s="471">
        <f t="shared" si="6"/>
        <v>0</v>
      </c>
      <c r="AB74" s="471">
        <f t="shared" si="7"/>
        <v>0</v>
      </c>
    </row>
    <row r="75" spans="1:28" x14ac:dyDescent="0.15">
      <c r="A75" s="433"/>
      <c r="B75" s="606"/>
      <c r="C75" s="606"/>
      <c r="D75" s="606"/>
      <c r="E75" s="433"/>
      <c r="F75" s="606"/>
      <c r="G75" s="484" t="s">
        <v>1577</v>
      </c>
      <c r="H75" s="606"/>
      <c r="I75" s="433"/>
      <c r="J75" s="607"/>
      <c r="K75" s="607"/>
      <c r="L75" s="608"/>
      <c r="M75" s="608"/>
      <c r="N75" s="624">
        <f>VLOOKUP(M75,'Salary Schedule'!$B$16:$N$47,L75+1,FALSE)</f>
        <v>0</v>
      </c>
      <c r="O75" s="610"/>
      <c r="P75" s="481">
        <v>0</v>
      </c>
      <c r="Q75" s="609"/>
      <c r="R75" s="479">
        <f t="shared" si="5"/>
        <v>0</v>
      </c>
      <c r="S75" s="479">
        <f t="shared" si="1"/>
        <v>0</v>
      </c>
      <c r="T75" s="479">
        <f t="shared" si="8"/>
        <v>0</v>
      </c>
      <c r="U75" s="479">
        <f t="shared" si="9"/>
        <v>0</v>
      </c>
      <c r="V75" s="479">
        <f t="shared" si="10"/>
        <v>0</v>
      </c>
      <c r="W75" s="479">
        <v>0</v>
      </c>
      <c r="X75" s="479">
        <v>0</v>
      </c>
      <c r="Y75" s="479">
        <v>0</v>
      </c>
      <c r="Z75" s="479">
        <v>0</v>
      </c>
      <c r="AA75" s="471">
        <f t="shared" si="6"/>
        <v>0</v>
      </c>
      <c r="AB75" s="471">
        <f t="shared" si="7"/>
        <v>0</v>
      </c>
    </row>
    <row r="76" spans="1:28" x14ac:dyDescent="0.15">
      <c r="A76" s="433"/>
      <c r="B76" s="606"/>
      <c r="C76" s="606"/>
      <c r="D76" s="606"/>
      <c r="E76" s="433"/>
      <c r="F76" s="606"/>
      <c r="G76" s="484" t="s">
        <v>1577</v>
      </c>
      <c r="H76" s="606"/>
      <c r="I76" s="433"/>
      <c r="J76" s="607"/>
      <c r="K76" s="607"/>
      <c r="L76" s="608"/>
      <c r="M76" s="608"/>
      <c r="N76" s="624">
        <f>VLOOKUP(M76,'Salary Schedule'!$B$16:$N$47,L76+1,FALSE)</f>
        <v>0</v>
      </c>
      <c r="O76" s="610"/>
      <c r="P76" s="481">
        <v>0</v>
      </c>
      <c r="Q76" s="609"/>
      <c r="R76" s="479">
        <f t="shared" ref="R76:R139" si="11">ROUND((+N76*P76),0)</f>
        <v>0</v>
      </c>
      <c r="S76" s="479">
        <f t="shared" ref="S76:S139" si="12">+R76*$S$4</f>
        <v>0</v>
      </c>
      <c r="T76" s="479">
        <f t="shared" ref="T76:T139" si="13">+R76*$T$4</f>
        <v>0</v>
      </c>
      <c r="U76" s="479">
        <f t="shared" ref="U76:U139" si="14">+R76*$U$4</f>
        <v>0</v>
      </c>
      <c r="V76" s="479">
        <f t="shared" ref="V76:V139" si="15">($V$3*12)*P76</f>
        <v>0</v>
      </c>
      <c r="W76" s="479">
        <v>0</v>
      </c>
      <c r="X76" s="479">
        <v>0</v>
      </c>
      <c r="Y76" s="479">
        <v>0</v>
      </c>
      <c r="Z76" s="479">
        <v>0</v>
      </c>
      <c r="AA76" s="471">
        <f t="shared" ref="AA76:AA139" si="16">ROUND((SUM(S76:Z76)),0)</f>
        <v>0</v>
      </c>
      <c r="AB76" s="471">
        <f t="shared" ref="AB76:AB139" si="17">ROUND((+R76+AA76),0)</f>
        <v>0</v>
      </c>
    </row>
    <row r="77" spans="1:28" x14ac:dyDescent="0.15">
      <c r="A77" s="433"/>
      <c r="B77" s="606"/>
      <c r="C77" s="606"/>
      <c r="D77" s="606"/>
      <c r="E77" s="433"/>
      <c r="F77" s="606"/>
      <c r="G77" s="484" t="s">
        <v>1577</v>
      </c>
      <c r="H77" s="606"/>
      <c r="I77" s="433"/>
      <c r="J77" s="607"/>
      <c r="K77" s="607"/>
      <c r="L77" s="608"/>
      <c r="M77" s="608"/>
      <c r="N77" s="624">
        <f>VLOOKUP(M77,'Salary Schedule'!$B$16:$N$47,L77+1,FALSE)</f>
        <v>0</v>
      </c>
      <c r="O77" s="610"/>
      <c r="P77" s="481">
        <v>0</v>
      </c>
      <c r="Q77" s="609"/>
      <c r="R77" s="479">
        <f t="shared" si="11"/>
        <v>0</v>
      </c>
      <c r="S77" s="479">
        <f t="shared" si="12"/>
        <v>0</v>
      </c>
      <c r="T77" s="479">
        <f t="shared" si="13"/>
        <v>0</v>
      </c>
      <c r="U77" s="479">
        <f t="shared" si="14"/>
        <v>0</v>
      </c>
      <c r="V77" s="479">
        <f t="shared" si="15"/>
        <v>0</v>
      </c>
      <c r="W77" s="479">
        <v>0</v>
      </c>
      <c r="X77" s="479">
        <v>0</v>
      </c>
      <c r="Y77" s="479">
        <v>0</v>
      </c>
      <c r="Z77" s="479">
        <v>0</v>
      </c>
      <c r="AA77" s="471">
        <f t="shared" si="16"/>
        <v>0</v>
      </c>
      <c r="AB77" s="471">
        <f t="shared" si="17"/>
        <v>0</v>
      </c>
    </row>
    <row r="78" spans="1:28" x14ac:dyDescent="0.15">
      <c r="A78" s="433"/>
      <c r="B78" s="606"/>
      <c r="C78" s="606"/>
      <c r="D78" s="606"/>
      <c r="E78" s="433"/>
      <c r="F78" s="606"/>
      <c r="G78" s="484" t="s">
        <v>1577</v>
      </c>
      <c r="H78" s="606"/>
      <c r="I78" s="433"/>
      <c r="J78" s="607"/>
      <c r="K78" s="607"/>
      <c r="L78" s="608"/>
      <c r="M78" s="608"/>
      <c r="N78" s="624">
        <f>VLOOKUP(M78,'Salary Schedule'!$B$16:$N$47,L78+1,FALSE)</f>
        <v>0</v>
      </c>
      <c r="O78" s="610"/>
      <c r="P78" s="481">
        <v>0</v>
      </c>
      <c r="Q78" s="609"/>
      <c r="R78" s="479">
        <f t="shared" si="11"/>
        <v>0</v>
      </c>
      <c r="S78" s="479">
        <f t="shared" si="12"/>
        <v>0</v>
      </c>
      <c r="T78" s="479">
        <f t="shared" si="13"/>
        <v>0</v>
      </c>
      <c r="U78" s="479">
        <f t="shared" si="14"/>
        <v>0</v>
      </c>
      <c r="V78" s="479">
        <f t="shared" si="15"/>
        <v>0</v>
      </c>
      <c r="W78" s="479">
        <v>0</v>
      </c>
      <c r="X78" s="479">
        <v>0</v>
      </c>
      <c r="Y78" s="479">
        <v>0</v>
      </c>
      <c r="Z78" s="479">
        <v>0</v>
      </c>
      <c r="AA78" s="471">
        <f t="shared" si="16"/>
        <v>0</v>
      </c>
      <c r="AB78" s="471">
        <f t="shared" si="17"/>
        <v>0</v>
      </c>
    </row>
    <row r="79" spans="1:28" x14ac:dyDescent="0.15">
      <c r="A79" s="433"/>
      <c r="B79" s="606"/>
      <c r="C79" s="606"/>
      <c r="D79" s="606"/>
      <c r="E79" s="433"/>
      <c r="F79" s="606"/>
      <c r="G79" s="484" t="s">
        <v>1577</v>
      </c>
      <c r="H79" s="606"/>
      <c r="I79" s="433"/>
      <c r="J79" s="607"/>
      <c r="K79" s="607"/>
      <c r="L79" s="608"/>
      <c r="M79" s="608"/>
      <c r="N79" s="624">
        <f>VLOOKUP(M79,'Salary Schedule'!$B$16:$N$47,L79+1,FALSE)</f>
        <v>0</v>
      </c>
      <c r="O79" s="610"/>
      <c r="P79" s="481">
        <v>0</v>
      </c>
      <c r="Q79" s="609"/>
      <c r="R79" s="479">
        <f t="shared" si="11"/>
        <v>0</v>
      </c>
      <c r="S79" s="479">
        <f t="shared" si="12"/>
        <v>0</v>
      </c>
      <c r="T79" s="479">
        <f t="shared" si="13"/>
        <v>0</v>
      </c>
      <c r="U79" s="479">
        <f t="shared" si="14"/>
        <v>0</v>
      </c>
      <c r="V79" s="479">
        <f t="shared" si="15"/>
        <v>0</v>
      </c>
      <c r="W79" s="479">
        <v>0</v>
      </c>
      <c r="X79" s="479">
        <v>0</v>
      </c>
      <c r="Y79" s="479">
        <v>0</v>
      </c>
      <c r="Z79" s="479">
        <v>0</v>
      </c>
      <c r="AA79" s="471">
        <f t="shared" si="16"/>
        <v>0</v>
      </c>
      <c r="AB79" s="471">
        <f t="shared" si="17"/>
        <v>0</v>
      </c>
    </row>
    <row r="80" spans="1:28" x14ac:dyDescent="0.15">
      <c r="A80" s="433"/>
      <c r="B80" s="606"/>
      <c r="C80" s="606"/>
      <c r="D80" s="606"/>
      <c r="E80" s="433"/>
      <c r="F80" s="606"/>
      <c r="G80" s="484" t="s">
        <v>1577</v>
      </c>
      <c r="H80" s="606"/>
      <c r="I80" s="433"/>
      <c r="J80" s="607"/>
      <c r="K80" s="607"/>
      <c r="L80" s="608"/>
      <c r="M80" s="608"/>
      <c r="N80" s="624">
        <f>VLOOKUP(M80,'Salary Schedule'!$B$16:$N$47,L80+1,FALSE)</f>
        <v>0</v>
      </c>
      <c r="O80" s="610"/>
      <c r="P80" s="481">
        <v>0</v>
      </c>
      <c r="Q80" s="609"/>
      <c r="R80" s="479">
        <f t="shared" si="11"/>
        <v>0</v>
      </c>
      <c r="S80" s="479">
        <f t="shared" si="12"/>
        <v>0</v>
      </c>
      <c r="T80" s="479">
        <f t="shared" si="13"/>
        <v>0</v>
      </c>
      <c r="U80" s="479">
        <f t="shared" si="14"/>
        <v>0</v>
      </c>
      <c r="V80" s="479">
        <f t="shared" si="15"/>
        <v>0</v>
      </c>
      <c r="W80" s="479">
        <v>0</v>
      </c>
      <c r="X80" s="479">
        <v>0</v>
      </c>
      <c r="Y80" s="479">
        <v>0</v>
      </c>
      <c r="Z80" s="479">
        <v>0</v>
      </c>
      <c r="AA80" s="471">
        <f t="shared" si="16"/>
        <v>0</v>
      </c>
      <c r="AB80" s="471">
        <f t="shared" si="17"/>
        <v>0</v>
      </c>
    </row>
    <row r="81" spans="1:28" x14ac:dyDescent="0.15">
      <c r="A81" s="433"/>
      <c r="B81" s="606"/>
      <c r="C81" s="606"/>
      <c r="D81" s="606"/>
      <c r="E81" s="433"/>
      <c r="F81" s="606"/>
      <c r="G81" s="484" t="s">
        <v>1577</v>
      </c>
      <c r="H81" s="606"/>
      <c r="I81" s="433"/>
      <c r="J81" s="607"/>
      <c r="K81" s="607"/>
      <c r="L81" s="608"/>
      <c r="M81" s="608"/>
      <c r="N81" s="624">
        <f>VLOOKUP(M81,'Salary Schedule'!$B$16:$N$47,L81+1,FALSE)</f>
        <v>0</v>
      </c>
      <c r="O81" s="610"/>
      <c r="P81" s="481">
        <v>0</v>
      </c>
      <c r="Q81" s="609"/>
      <c r="R81" s="479">
        <f t="shared" si="11"/>
        <v>0</v>
      </c>
      <c r="S81" s="479">
        <f t="shared" si="12"/>
        <v>0</v>
      </c>
      <c r="T81" s="479">
        <f t="shared" si="13"/>
        <v>0</v>
      </c>
      <c r="U81" s="479">
        <f t="shared" si="14"/>
        <v>0</v>
      </c>
      <c r="V81" s="479">
        <f t="shared" si="15"/>
        <v>0</v>
      </c>
      <c r="W81" s="479">
        <v>0</v>
      </c>
      <c r="X81" s="479">
        <v>0</v>
      </c>
      <c r="Y81" s="479">
        <v>0</v>
      </c>
      <c r="Z81" s="479">
        <v>0</v>
      </c>
      <c r="AA81" s="471">
        <f t="shared" si="16"/>
        <v>0</v>
      </c>
      <c r="AB81" s="471">
        <f t="shared" si="17"/>
        <v>0</v>
      </c>
    </row>
    <row r="82" spans="1:28" x14ac:dyDescent="0.15">
      <c r="A82" s="433"/>
      <c r="B82" s="606"/>
      <c r="C82" s="606"/>
      <c r="D82" s="606"/>
      <c r="E82" s="433"/>
      <c r="F82" s="606"/>
      <c r="G82" s="484" t="s">
        <v>1577</v>
      </c>
      <c r="H82" s="606"/>
      <c r="I82" s="433"/>
      <c r="J82" s="607"/>
      <c r="K82" s="607"/>
      <c r="L82" s="608"/>
      <c r="M82" s="608"/>
      <c r="N82" s="624">
        <f>VLOOKUP(M82,'Salary Schedule'!$B$16:$N$47,L82+1,FALSE)</f>
        <v>0</v>
      </c>
      <c r="O82" s="610"/>
      <c r="P82" s="481">
        <v>0</v>
      </c>
      <c r="Q82" s="609"/>
      <c r="R82" s="479">
        <f t="shared" si="11"/>
        <v>0</v>
      </c>
      <c r="S82" s="479">
        <f t="shared" si="12"/>
        <v>0</v>
      </c>
      <c r="T82" s="479">
        <f t="shared" si="13"/>
        <v>0</v>
      </c>
      <c r="U82" s="479">
        <f t="shared" si="14"/>
        <v>0</v>
      </c>
      <c r="V82" s="479">
        <f t="shared" si="15"/>
        <v>0</v>
      </c>
      <c r="W82" s="479">
        <v>0</v>
      </c>
      <c r="X82" s="479">
        <v>0</v>
      </c>
      <c r="Y82" s="479">
        <v>0</v>
      </c>
      <c r="Z82" s="479">
        <v>0</v>
      </c>
      <c r="AA82" s="471">
        <f t="shared" si="16"/>
        <v>0</v>
      </c>
      <c r="AB82" s="471">
        <f t="shared" si="17"/>
        <v>0</v>
      </c>
    </row>
    <row r="83" spans="1:28" x14ac:dyDescent="0.15">
      <c r="A83" s="433"/>
      <c r="B83" s="606"/>
      <c r="C83" s="606"/>
      <c r="D83" s="606"/>
      <c r="E83" s="433"/>
      <c r="F83" s="606"/>
      <c r="G83" s="484" t="s">
        <v>1577</v>
      </c>
      <c r="H83" s="606"/>
      <c r="I83" s="433"/>
      <c r="J83" s="607"/>
      <c r="K83" s="607"/>
      <c r="L83" s="608"/>
      <c r="M83" s="608"/>
      <c r="N83" s="624">
        <f>VLOOKUP(M83,'Salary Schedule'!$B$16:$N$47,L83+1,FALSE)</f>
        <v>0</v>
      </c>
      <c r="O83" s="610"/>
      <c r="P83" s="481">
        <v>0</v>
      </c>
      <c r="Q83" s="609"/>
      <c r="R83" s="479">
        <f t="shared" si="11"/>
        <v>0</v>
      </c>
      <c r="S83" s="479">
        <f t="shared" si="12"/>
        <v>0</v>
      </c>
      <c r="T83" s="479">
        <f t="shared" si="13"/>
        <v>0</v>
      </c>
      <c r="U83" s="479">
        <f t="shared" si="14"/>
        <v>0</v>
      </c>
      <c r="V83" s="479">
        <f t="shared" si="15"/>
        <v>0</v>
      </c>
      <c r="W83" s="479">
        <v>0</v>
      </c>
      <c r="X83" s="479">
        <v>0</v>
      </c>
      <c r="Y83" s="479">
        <v>0</v>
      </c>
      <c r="Z83" s="479">
        <v>0</v>
      </c>
      <c r="AA83" s="471">
        <f t="shared" si="16"/>
        <v>0</v>
      </c>
      <c r="AB83" s="471">
        <f t="shared" si="17"/>
        <v>0</v>
      </c>
    </row>
    <row r="84" spans="1:28" x14ac:dyDescent="0.15">
      <c r="A84" s="433"/>
      <c r="B84" s="606"/>
      <c r="C84" s="606"/>
      <c r="D84" s="606"/>
      <c r="E84" s="433"/>
      <c r="F84" s="606"/>
      <c r="G84" s="484" t="s">
        <v>1577</v>
      </c>
      <c r="H84" s="606"/>
      <c r="I84" s="433"/>
      <c r="J84" s="607"/>
      <c r="K84" s="607"/>
      <c r="L84" s="608"/>
      <c r="M84" s="608"/>
      <c r="N84" s="624">
        <f>VLOOKUP(M84,'Salary Schedule'!$B$16:$N$47,L84+1,FALSE)</f>
        <v>0</v>
      </c>
      <c r="O84" s="610"/>
      <c r="P84" s="481">
        <v>0</v>
      </c>
      <c r="Q84" s="609"/>
      <c r="R84" s="479">
        <f t="shared" si="11"/>
        <v>0</v>
      </c>
      <c r="S84" s="479">
        <f t="shared" si="12"/>
        <v>0</v>
      </c>
      <c r="T84" s="479">
        <f t="shared" si="13"/>
        <v>0</v>
      </c>
      <c r="U84" s="479">
        <f t="shared" si="14"/>
        <v>0</v>
      </c>
      <c r="V84" s="479">
        <f t="shared" si="15"/>
        <v>0</v>
      </c>
      <c r="W84" s="479">
        <v>0</v>
      </c>
      <c r="X84" s="479">
        <v>0</v>
      </c>
      <c r="Y84" s="479">
        <v>0</v>
      </c>
      <c r="Z84" s="479">
        <v>0</v>
      </c>
      <c r="AA84" s="471">
        <f t="shared" si="16"/>
        <v>0</v>
      </c>
      <c r="AB84" s="471">
        <f t="shared" si="17"/>
        <v>0</v>
      </c>
    </row>
    <row r="85" spans="1:28" x14ac:dyDescent="0.15">
      <c r="A85" s="433"/>
      <c r="B85" s="606"/>
      <c r="C85" s="606"/>
      <c r="D85" s="606"/>
      <c r="E85" s="433"/>
      <c r="F85" s="606"/>
      <c r="G85" s="484" t="s">
        <v>1577</v>
      </c>
      <c r="H85" s="606"/>
      <c r="I85" s="433"/>
      <c r="J85" s="607"/>
      <c r="K85" s="607"/>
      <c r="L85" s="608"/>
      <c r="M85" s="608"/>
      <c r="N85" s="624">
        <f>VLOOKUP(M85,'Salary Schedule'!$B$16:$N$47,L85+1,FALSE)</f>
        <v>0</v>
      </c>
      <c r="O85" s="610"/>
      <c r="P85" s="481">
        <v>0</v>
      </c>
      <c r="Q85" s="609"/>
      <c r="R85" s="479">
        <f t="shared" si="11"/>
        <v>0</v>
      </c>
      <c r="S85" s="479">
        <f t="shared" si="12"/>
        <v>0</v>
      </c>
      <c r="T85" s="479">
        <f t="shared" si="13"/>
        <v>0</v>
      </c>
      <c r="U85" s="479">
        <f t="shared" si="14"/>
        <v>0</v>
      </c>
      <c r="V85" s="479">
        <f t="shared" si="15"/>
        <v>0</v>
      </c>
      <c r="W85" s="479">
        <v>0</v>
      </c>
      <c r="X85" s="479">
        <v>0</v>
      </c>
      <c r="Y85" s="479">
        <v>0</v>
      </c>
      <c r="Z85" s="479">
        <v>0</v>
      </c>
      <c r="AA85" s="471">
        <f t="shared" si="16"/>
        <v>0</v>
      </c>
      <c r="AB85" s="471">
        <f t="shared" si="17"/>
        <v>0</v>
      </c>
    </row>
    <row r="86" spans="1:28" x14ac:dyDescent="0.15">
      <c r="A86" s="433"/>
      <c r="B86" s="606"/>
      <c r="C86" s="606"/>
      <c r="D86" s="606"/>
      <c r="E86" s="433"/>
      <c r="F86" s="606"/>
      <c r="G86" s="484" t="s">
        <v>1577</v>
      </c>
      <c r="H86" s="606"/>
      <c r="I86" s="433"/>
      <c r="J86" s="607"/>
      <c r="K86" s="607"/>
      <c r="L86" s="608"/>
      <c r="M86" s="608"/>
      <c r="N86" s="624">
        <f>VLOOKUP(M86,'Salary Schedule'!$B$16:$N$47,L86+1,FALSE)</f>
        <v>0</v>
      </c>
      <c r="O86" s="610"/>
      <c r="P86" s="481">
        <v>0</v>
      </c>
      <c r="Q86" s="609"/>
      <c r="R86" s="479">
        <f t="shared" si="11"/>
        <v>0</v>
      </c>
      <c r="S86" s="479">
        <f t="shared" si="12"/>
        <v>0</v>
      </c>
      <c r="T86" s="479">
        <f t="shared" si="13"/>
        <v>0</v>
      </c>
      <c r="U86" s="479">
        <f t="shared" si="14"/>
        <v>0</v>
      </c>
      <c r="V86" s="479">
        <f t="shared" si="15"/>
        <v>0</v>
      </c>
      <c r="W86" s="479">
        <v>0</v>
      </c>
      <c r="X86" s="479">
        <v>0</v>
      </c>
      <c r="Y86" s="479">
        <v>0</v>
      </c>
      <c r="Z86" s="479">
        <v>0</v>
      </c>
      <c r="AA86" s="471">
        <f t="shared" si="16"/>
        <v>0</v>
      </c>
      <c r="AB86" s="471">
        <f t="shared" si="17"/>
        <v>0</v>
      </c>
    </row>
    <row r="87" spans="1:28" x14ac:dyDescent="0.15">
      <c r="A87" s="433"/>
      <c r="B87" s="606"/>
      <c r="C87" s="606"/>
      <c r="D87" s="606"/>
      <c r="E87" s="433"/>
      <c r="F87" s="606"/>
      <c r="G87" s="484" t="s">
        <v>1577</v>
      </c>
      <c r="H87" s="606"/>
      <c r="I87" s="433"/>
      <c r="J87" s="607"/>
      <c r="K87" s="607"/>
      <c r="L87" s="608"/>
      <c r="M87" s="608"/>
      <c r="N87" s="624">
        <f>VLOOKUP(M87,'Salary Schedule'!$B$16:$N$47,L87+1,FALSE)</f>
        <v>0</v>
      </c>
      <c r="O87" s="610"/>
      <c r="P87" s="481">
        <v>0</v>
      </c>
      <c r="Q87" s="609"/>
      <c r="R87" s="479">
        <f t="shared" si="11"/>
        <v>0</v>
      </c>
      <c r="S87" s="479">
        <f t="shared" si="12"/>
        <v>0</v>
      </c>
      <c r="T87" s="479">
        <f t="shared" si="13"/>
        <v>0</v>
      </c>
      <c r="U87" s="479">
        <f t="shared" si="14"/>
        <v>0</v>
      </c>
      <c r="V87" s="479">
        <f t="shared" si="15"/>
        <v>0</v>
      </c>
      <c r="W87" s="479">
        <v>0</v>
      </c>
      <c r="X87" s="479">
        <v>0</v>
      </c>
      <c r="Y87" s="479">
        <v>0</v>
      </c>
      <c r="Z87" s="479">
        <v>0</v>
      </c>
      <c r="AA87" s="471">
        <f t="shared" si="16"/>
        <v>0</v>
      </c>
      <c r="AB87" s="471">
        <f t="shared" si="17"/>
        <v>0</v>
      </c>
    </row>
    <row r="88" spans="1:28" x14ac:dyDescent="0.15">
      <c r="A88" s="433"/>
      <c r="B88" s="606"/>
      <c r="C88" s="606"/>
      <c r="D88" s="606"/>
      <c r="E88" s="433"/>
      <c r="F88" s="606"/>
      <c r="G88" s="484" t="s">
        <v>1577</v>
      </c>
      <c r="H88" s="606"/>
      <c r="I88" s="433"/>
      <c r="J88" s="607"/>
      <c r="K88" s="607"/>
      <c r="L88" s="608"/>
      <c r="M88" s="608"/>
      <c r="N88" s="624">
        <f>VLOOKUP(M88,'Salary Schedule'!$B$16:$N$47,L88+1,FALSE)</f>
        <v>0</v>
      </c>
      <c r="O88" s="610"/>
      <c r="P88" s="481">
        <v>0</v>
      </c>
      <c r="Q88" s="609"/>
      <c r="R88" s="479">
        <f t="shared" si="11"/>
        <v>0</v>
      </c>
      <c r="S88" s="479">
        <f t="shared" si="12"/>
        <v>0</v>
      </c>
      <c r="T88" s="479">
        <f t="shared" si="13"/>
        <v>0</v>
      </c>
      <c r="U88" s="479">
        <f t="shared" si="14"/>
        <v>0</v>
      </c>
      <c r="V88" s="479">
        <f t="shared" si="15"/>
        <v>0</v>
      </c>
      <c r="W88" s="479">
        <v>0</v>
      </c>
      <c r="X88" s="479">
        <v>0</v>
      </c>
      <c r="Y88" s="479">
        <v>0</v>
      </c>
      <c r="Z88" s="479">
        <v>0</v>
      </c>
      <c r="AA88" s="471">
        <f t="shared" si="16"/>
        <v>0</v>
      </c>
      <c r="AB88" s="471">
        <f t="shared" si="17"/>
        <v>0</v>
      </c>
    </row>
    <row r="89" spans="1:28" x14ac:dyDescent="0.15">
      <c r="A89" s="433"/>
      <c r="B89" s="606"/>
      <c r="C89" s="606"/>
      <c r="D89" s="606"/>
      <c r="E89" s="433"/>
      <c r="F89" s="606"/>
      <c r="G89" s="484" t="s">
        <v>1577</v>
      </c>
      <c r="H89" s="606"/>
      <c r="I89" s="433"/>
      <c r="J89" s="607"/>
      <c r="K89" s="607"/>
      <c r="L89" s="608"/>
      <c r="M89" s="608"/>
      <c r="N89" s="624">
        <f>VLOOKUP(M89,'Salary Schedule'!$B$16:$N$47,L89+1,FALSE)</f>
        <v>0</v>
      </c>
      <c r="O89" s="610"/>
      <c r="P89" s="481">
        <v>0</v>
      </c>
      <c r="Q89" s="609"/>
      <c r="R89" s="479">
        <f t="shared" si="11"/>
        <v>0</v>
      </c>
      <c r="S89" s="479">
        <f t="shared" si="12"/>
        <v>0</v>
      </c>
      <c r="T89" s="479">
        <f t="shared" si="13"/>
        <v>0</v>
      </c>
      <c r="U89" s="479">
        <f t="shared" si="14"/>
        <v>0</v>
      </c>
      <c r="V89" s="479">
        <f t="shared" si="15"/>
        <v>0</v>
      </c>
      <c r="W89" s="479">
        <v>0</v>
      </c>
      <c r="X89" s="479">
        <v>0</v>
      </c>
      <c r="Y89" s="479">
        <v>0</v>
      </c>
      <c r="Z89" s="479">
        <v>0</v>
      </c>
      <c r="AA89" s="471">
        <f t="shared" si="16"/>
        <v>0</v>
      </c>
      <c r="AB89" s="471">
        <f t="shared" si="17"/>
        <v>0</v>
      </c>
    </row>
    <row r="90" spans="1:28" x14ac:dyDescent="0.15">
      <c r="A90" s="433"/>
      <c r="B90" s="606"/>
      <c r="C90" s="606"/>
      <c r="D90" s="606"/>
      <c r="E90" s="433"/>
      <c r="F90" s="606"/>
      <c r="G90" s="484" t="s">
        <v>1577</v>
      </c>
      <c r="H90" s="606"/>
      <c r="I90" s="433"/>
      <c r="J90" s="607"/>
      <c r="K90" s="607"/>
      <c r="L90" s="608"/>
      <c r="M90" s="608"/>
      <c r="N90" s="624">
        <f>VLOOKUP(M90,'Salary Schedule'!$B$16:$N$47,L90+1,FALSE)</f>
        <v>0</v>
      </c>
      <c r="O90" s="610"/>
      <c r="P90" s="481">
        <v>0</v>
      </c>
      <c r="Q90" s="609"/>
      <c r="R90" s="479">
        <f t="shared" si="11"/>
        <v>0</v>
      </c>
      <c r="S90" s="479">
        <f t="shared" si="12"/>
        <v>0</v>
      </c>
      <c r="T90" s="479">
        <f t="shared" si="13"/>
        <v>0</v>
      </c>
      <c r="U90" s="479">
        <f t="shared" si="14"/>
        <v>0</v>
      </c>
      <c r="V90" s="479">
        <f t="shared" si="15"/>
        <v>0</v>
      </c>
      <c r="W90" s="479">
        <v>0</v>
      </c>
      <c r="X90" s="479">
        <v>0</v>
      </c>
      <c r="Y90" s="479">
        <v>0</v>
      </c>
      <c r="Z90" s="479">
        <v>0</v>
      </c>
      <c r="AA90" s="471">
        <f t="shared" si="16"/>
        <v>0</v>
      </c>
      <c r="AB90" s="471">
        <f t="shared" si="17"/>
        <v>0</v>
      </c>
    </row>
    <row r="91" spans="1:28" x14ac:dyDescent="0.15">
      <c r="A91" s="433"/>
      <c r="B91" s="606"/>
      <c r="C91" s="606"/>
      <c r="D91" s="606"/>
      <c r="E91" s="433"/>
      <c r="F91" s="606"/>
      <c r="G91" s="484" t="s">
        <v>1577</v>
      </c>
      <c r="H91" s="606"/>
      <c r="I91" s="433"/>
      <c r="J91" s="607"/>
      <c r="K91" s="607"/>
      <c r="L91" s="608"/>
      <c r="M91" s="608"/>
      <c r="N91" s="624">
        <f>VLOOKUP(M91,'Salary Schedule'!$B$16:$N$47,L91+1,FALSE)</f>
        <v>0</v>
      </c>
      <c r="O91" s="610"/>
      <c r="P91" s="481">
        <v>0</v>
      </c>
      <c r="Q91" s="609"/>
      <c r="R91" s="479">
        <f t="shared" si="11"/>
        <v>0</v>
      </c>
      <c r="S91" s="479">
        <f t="shared" si="12"/>
        <v>0</v>
      </c>
      <c r="T91" s="479">
        <f t="shared" si="13"/>
        <v>0</v>
      </c>
      <c r="U91" s="479">
        <f t="shared" si="14"/>
        <v>0</v>
      </c>
      <c r="V91" s="479">
        <f t="shared" si="15"/>
        <v>0</v>
      </c>
      <c r="W91" s="479">
        <v>0</v>
      </c>
      <c r="X91" s="479">
        <v>0</v>
      </c>
      <c r="Y91" s="479">
        <v>0</v>
      </c>
      <c r="Z91" s="479">
        <v>0</v>
      </c>
      <c r="AA91" s="471">
        <f t="shared" si="16"/>
        <v>0</v>
      </c>
      <c r="AB91" s="471">
        <f t="shared" si="17"/>
        <v>0</v>
      </c>
    </row>
    <row r="92" spans="1:28" x14ac:dyDescent="0.15">
      <c r="A92" s="433"/>
      <c r="B92" s="606"/>
      <c r="C92" s="606"/>
      <c r="D92" s="606"/>
      <c r="E92" s="433"/>
      <c r="F92" s="606"/>
      <c r="G92" s="484" t="s">
        <v>1577</v>
      </c>
      <c r="H92" s="606"/>
      <c r="I92" s="433"/>
      <c r="J92" s="607"/>
      <c r="K92" s="607"/>
      <c r="L92" s="608"/>
      <c r="M92" s="608"/>
      <c r="N92" s="624">
        <f>VLOOKUP(M92,'Salary Schedule'!$B$16:$N$47,L92+1,FALSE)</f>
        <v>0</v>
      </c>
      <c r="O92" s="610"/>
      <c r="P92" s="481">
        <v>0</v>
      </c>
      <c r="Q92" s="609"/>
      <c r="R92" s="479">
        <f t="shared" si="11"/>
        <v>0</v>
      </c>
      <c r="S92" s="479">
        <f t="shared" si="12"/>
        <v>0</v>
      </c>
      <c r="T92" s="479">
        <f t="shared" si="13"/>
        <v>0</v>
      </c>
      <c r="U92" s="479">
        <f t="shared" si="14"/>
        <v>0</v>
      </c>
      <c r="V92" s="479">
        <f t="shared" si="15"/>
        <v>0</v>
      </c>
      <c r="W92" s="479">
        <v>0</v>
      </c>
      <c r="X92" s="479">
        <v>0</v>
      </c>
      <c r="Y92" s="479">
        <v>0</v>
      </c>
      <c r="Z92" s="479">
        <v>0</v>
      </c>
      <c r="AA92" s="471">
        <f t="shared" si="16"/>
        <v>0</v>
      </c>
      <c r="AB92" s="471">
        <f t="shared" si="17"/>
        <v>0</v>
      </c>
    </row>
    <row r="93" spans="1:28" x14ac:dyDescent="0.15">
      <c r="A93" s="433"/>
      <c r="B93" s="606"/>
      <c r="C93" s="606"/>
      <c r="D93" s="606"/>
      <c r="E93" s="433"/>
      <c r="F93" s="606"/>
      <c r="G93" s="484" t="s">
        <v>1577</v>
      </c>
      <c r="H93" s="606"/>
      <c r="I93" s="433"/>
      <c r="J93" s="607"/>
      <c r="K93" s="607"/>
      <c r="L93" s="608"/>
      <c r="M93" s="608"/>
      <c r="N93" s="624">
        <f>VLOOKUP(M93,'Salary Schedule'!$B$16:$N$47,L93+1,FALSE)</f>
        <v>0</v>
      </c>
      <c r="O93" s="610"/>
      <c r="P93" s="481">
        <v>0</v>
      </c>
      <c r="Q93" s="609"/>
      <c r="R93" s="479">
        <f t="shared" si="11"/>
        <v>0</v>
      </c>
      <c r="S93" s="479">
        <f t="shared" si="12"/>
        <v>0</v>
      </c>
      <c r="T93" s="479">
        <f t="shared" si="13"/>
        <v>0</v>
      </c>
      <c r="U93" s="479">
        <f t="shared" si="14"/>
        <v>0</v>
      </c>
      <c r="V93" s="479">
        <f t="shared" si="15"/>
        <v>0</v>
      </c>
      <c r="W93" s="479">
        <v>0</v>
      </c>
      <c r="X93" s="479">
        <v>0</v>
      </c>
      <c r="Y93" s="479">
        <v>0</v>
      </c>
      <c r="Z93" s="479">
        <v>0</v>
      </c>
      <c r="AA93" s="471">
        <f t="shared" si="16"/>
        <v>0</v>
      </c>
      <c r="AB93" s="471">
        <f t="shared" si="17"/>
        <v>0</v>
      </c>
    </row>
    <row r="94" spans="1:28" x14ac:dyDescent="0.15">
      <c r="A94" s="433"/>
      <c r="B94" s="606"/>
      <c r="C94" s="606"/>
      <c r="D94" s="606"/>
      <c r="E94" s="433"/>
      <c r="F94" s="606"/>
      <c r="G94" s="484" t="s">
        <v>1577</v>
      </c>
      <c r="H94" s="606"/>
      <c r="I94" s="433"/>
      <c r="J94" s="607"/>
      <c r="K94" s="607"/>
      <c r="L94" s="608"/>
      <c r="M94" s="608"/>
      <c r="N94" s="624">
        <f>VLOOKUP(M94,'Salary Schedule'!$B$16:$N$47,L94+1,FALSE)</f>
        <v>0</v>
      </c>
      <c r="O94" s="610"/>
      <c r="P94" s="481">
        <v>0</v>
      </c>
      <c r="Q94" s="609"/>
      <c r="R94" s="479">
        <f t="shared" si="11"/>
        <v>0</v>
      </c>
      <c r="S94" s="479">
        <f t="shared" si="12"/>
        <v>0</v>
      </c>
      <c r="T94" s="479">
        <f t="shared" si="13"/>
        <v>0</v>
      </c>
      <c r="U94" s="479">
        <f t="shared" si="14"/>
        <v>0</v>
      </c>
      <c r="V94" s="479">
        <f t="shared" si="15"/>
        <v>0</v>
      </c>
      <c r="W94" s="479">
        <v>0</v>
      </c>
      <c r="X94" s="479">
        <v>0</v>
      </c>
      <c r="Y94" s="479">
        <v>0</v>
      </c>
      <c r="Z94" s="479">
        <v>0</v>
      </c>
      <c r="AA94" s="471">
        <f t="shared" si="16"/>
        <v>0</v>
      </c>
      <c r="AB94" s="471">
        <f t="shared" si="17"/>
        <v>0</v>
      </c>
    </row>
    <row r="95" spans="1:28" x14ac:dyDescent="0.15">
      <c r="A95" s="433"/>
      <c r="B95" s="606"/>
      <c r="C95" s="606"/>
      <c r="D95" s="606"/>
      <c r="E95" s="433"/>
      <c r="F95" s="606"/>
      <c r="G95" s="484" t="s">
        <v>1577</v>
      </c>
      <c r="H95" s="606"/>
      <c r="I95" s="433"/>
      <c r="J95" s="607"/>
      <c r="K95" s="607"/>
      <c r="L95" s="608"/>
      <c r="M95" s="608"/>
      <c r="N95" s="624">
        <f>VLOOKUP(M95,'Salary Schedule'!$B$16:$N$47,L95+1,FALSE)</f>
        <v>0</v>
      </c>
      <c r="O95" s="610"/>
      <c r="P95" s="481">
        <v>0</v>
      </c>
      <c r="Q95" s="609"/>
      <c r="R95" s="479">
        <f t="shared" si="11"/>
        <v>0</v>
      </c>
      <c r="S95" s="479">
        <f t="shared" si="12"/>
        <v>0</v>
      </c>
      <c r="T95" s="479">
        <f t="shared" si="13"/>
        <v>0</v>
      </c>
      <c r="U95" s="479">
        <f t="shared" si="14"/>
        <v>0</v>
      </c>
      <c r="V95" s="479">
        <f t="shared" si="15"/>
        <v>0</v>
      </c>
      <c r="W95" s="479">
        <v>0</v>
      </c>
      <c r="X95" s="479">
        <v>0</v>
      </c>
      <c r="Y95" s="479">
        <v>0</v>
      </c>
      <c r="Z95" s="479">
        <v>0</v>
      </c>
      <c r="AA95" s="471">
        <f t="shared" si="16"/>
        <v>0</v>
      </c>
      <c r="AB95" s="471">
        <f t="shared" si="17"/>
        <v>0</v>
      </c>
    </row>
    <row r="96" spans="1:28" x14ac:dyDescent="0.15">
      <c r="A96" s="433"/>
      <c r="B96" s="606"/>
      <c r="C96" s="606"/>
      <c r="D96" s="606"/>
      <c r="E96" s="433"/>
      <c r="F96" s="606"/>
      <c r="G96" s="484" t="s">
        <v>1577</v>
      </c>
      <c r="H96" s="606"/>
      <c r="I96" s="433"/>
      <c r="J96" s="607"/>
      <c r="K96" s="607"/>
      <c r="L96" s="608"/>
      <c r="M96" s="608"/>
      <c r="N96" s="624">
        <f>VLOOKUP(M96,'Salary Schedule'!$B$16:$N$47,L96+1,FALSE)</f>
        <v>0</v>
      </c>
      <c r="O96" s="610"/>
      <c r="P96" s="481">
        <v>0</v>
      </c>
      <c r="Q96" s="609"/>
      <c r="R96" s="479">
        <f t="shared" si="11"/>
        <v>0</v>
      </c>
      <c r="S96" s="479">
        <f t="shared" si="12"/>
        <v>0</v>
      </c>
      <c r="T96" s="479">
        <f t="shared" si="13"/>
        <v>0</v>
      </c>
      <c r="U96" s="479">
        <f t="shared" si="14"/>
        <v>0</v>
      </c>
      <c r="V96" s="479">
        <f t="shared" si="15"/>
        <v>0</v>
      </c>
      <c r="W96" s="479">
        <v>0</v>
      </c>
      <c r="X96" s="479">
        <v>0</v>
      </c>
      <c r="Y96" s="479">
        <v>0</v>
      </c>
      <c r="Z96" s="479">
        <v>0</v>
      </c>
      <c r="AA96" s="471">
        <f t="shared" si="16"/>
        <v>0</v>
      </c>
      <c r="AB96" s="471">
        <f t="shared" si="17"/>
        <v>0</v>
      </c>
    </row>
    <row r="97" spans="1:28" x14ac:dyDescent="0.15">
      <c r="A97" s="433"/>
      <c r="B97" s="606"/>
      <c r="C97" s="606"/>
      <c r="D97" s="606"/>
      <c r="E97" s="433"/>
      <c r="F97" s="606"/>
      <c r="G97" s="484" t="s">
        <v>1577</v>
      </c>
      <c r="H97" s="606"/>
      <c r="I97" s="433"/>
      <c r="J97" s="607"/>
      <c r="K97" s="607"/>
      <c r="L97" s="608"/>
      <c r="M97" s="608"/>
      <c r="N97" s="624">
        <f>VLOOKUP(M97,'Salary Schedule'!$B$16:$N$47,L97+1,FALSE)</f>
        <v>0</v>
      </c>
      <c r="O97" s="610"/>
      <c r="P97" s="481">
        <v>0</v>
      </c>
      <c r="Q97" s="609"/>
      <c r="R97" s="479">
        <f t="shared" si="11"/>
        <v>0</v>
      </c>
      <c r="S97" s="479">
        <f t="shared" si="12"/>
        <v>0</v>
      </c>
      <c r="T97" s="479">
        <f t="shared" si="13"/>
        <v>0</v>
      </c>
      <c r="U97" s="479">
        <f t="shared" si="14"/>
        <v>0</v>
      </c>
      <c r="V97" s="479">
        <f t="shared" si="15"/>
        <v>0</v>
      </c>
      <c r="W97" s="479">
        <v>0</v>
      </c>
      <c r="X97" s="479">
        <v>0</v>
      </c>
      <c r="Y97" s="479">
        <v>0</v>
      </c>
      <c r="Z97" s="479">
        <v>0</v>
      </c>
      <c r="AA97" s="471">
        <f t="shared" si="16"/>
        <v>0</v>
      </c>
      <c r="AB97" s="471">
        <f t="shared" si="17"/>
        <v>0</v>
      </c>
    </row>
    <row r="98" spans="1:28" x14ac:dyDescent="0.15">
      <c r="A98" s="433"/>
      <c r="B98" s="606"/>
      <c r="C98" s="606"/>
      <c r="D98" s="606"/>
      <c r="E98" s="433"/>
      <c r="F98" s="606"/>
      <c r="G98" s="484" t="s">
        <v>1577</v>
      </c>
      <c r="H98" s="606"/>
      <c r="I98" s="433"/>
      <c r="J98" s="607"/>
      <c r="K98" s="607"/>
      <c r="L98" s="608"/>
      <c r="M98" s="608"/>
      <c r="N98" s="624">
        <f>VLOOKUP(M98,'Salary Schedule'!$B$16:$N$47,L98+1,FALSE)</f>
        <v>0</v>
      </c>
      <c r="O98" s="610"/>
      <c r="P98" s="481">
        <v>0</v>
      </c>
      <c r="Q98" s="609"/>
      <c r="R98" s="479">
        <f t="shared" si="11"/>
        <v>0</v>
      </c>
      <c r="S98" s="479">
        <f t="shared" si="12"/>
        <v>0</v>
      </c>
      <c r="T98" s="479">
        <f t="shared" si="13"/>
        <v>0</v>
      </c>
      <c r="U98" s="479">
        <f t="shared" si="14"/>
        <v>0</v>
      </c>
      <c r="V98" s="479">
        <f t="shared" si="15"/>
        <v>0</v>
      </c>
      <c r="W98" s="479">
        <v>0</v>
      </c>
      <c r="X98" s="479">
        <v>0</v>
      </c>
      <c r="Y98" s="479">
        <v>0</v>
      </c>
      <c r="Z98" s="479">
        <v>0</v>
      </c>
      <c r="AA98" s="471">
        <f t="shared" si="16"/>
        <v>0</v>
      </c>
      <c r="AB98" s="471">
        <f t="shared" si="17"/>
        <v>0</v>
      </c>
    </row>
    <row r="99" spans="1:28" x14ac:dyDescent="0.15">
      <c r="A99" s="433"/>
      <c r="B99" s="606"/>
      <c r="C99" s="606"/>
      <c r="D99" s="606"/>
      <c r="E99" s="433"/>
      <c r="F99" s="606"/>
      <c r="G99" s="484" t="s">
        <v>1577</v>
      </c>
      <c r="H99" s="606"/>
      <c r="I99" s="433"/>
      <c r="J99" s="607"/>
      <c r="K99" s="607"/>
      <c r="L99" s="608"/>
      <c r="M99" s="608"/>
      <c r="N99" s="624">
        <f>VLOOKUP(M99,'Salary Schedule'!$B$16:$N$47,L99+1,FALSE)</f>
        <v>0</v>
      </c>
      <c r="O99" s="610"/>
      <c r="P99" s="481">
        <v>0</v>
      </c>
      <c r="Q99" s="609"/>
      <c r="R99" s="479">
        <f t="shared" si="11"/>
        <v>0</v>
      </c>
      <c r="S99" s="479">
        <f t="shared" si="12"/>
        <v>0</v>
      </c>
      <c r="T99" s="479">
        <f t="shared" si="13"/>
        <v>0</v>
      </c>
      <c r="U99" s="479">
        <f t="shared" si="14"/>
        <v>0</v>
      </c>
      <c r="V99" s="479">
        <f t="shared" si="15"/>
        <v>0</v>
      </c>
      <c r="W99" s="479">
        <v>0</v>
      </c>
      <c r="X99" s="479">
        <v>0</v>
      </c>
      <c r="Y99" s="479">
        <v>0</v>
      </c>
      <c r="Z99" s="479">
        <v>0</v>
      </c>
      <c r="AA99" s="471">
        <f t="shared" si="16"/>
        <v>0</v>
      </c>
      <c r="AB99" s="471">
        <f t="shared" si="17"/>
        <v>0</v>
      </c>
    </row>
    <row r="100" spans="1:28" x14ac:dyDescent="0.15">
      <c r="A100" s="433"/>
      <c r="B100" s="606"/>
      <c r="C100" s="606"/>
      <c r="D100" s="606"/>
      <c r="E100" s="433"/>
      <c r="F100" s="606"/>
      <c r="G100" s="484" t="s">
        <v>1577</v>
      </c>
      <c r="H100" s="606"/>
      <c r="I100" s="433"/>
      <c r="J100" s="607"/>
      <c r="K100" s="607"/>
      <c r="L100" s="608"/>
      <c r="M100" s="608"/>
      <c r="N100" s="624">
        <f>VLOOKUP(M100,'Salary Schedule'!$B$16:$N$47,L100+1,FALSE)</f>
        <v>0</v>
      </c>
      <c r="O100" s="610"/>
      <c r="P100" s="481">
        <v>0</v>
      </c>
      <c r="Q100" s="609"/>
      <c r="R100" s="479">
        <f t="shared" si="11"/>
        <v>0</v>
      </c>
      <c r="S100" s="479">
        <f t="shared" si="12"/>
        <v>0</v>
      </c>
      <c r="T100" s="479">
        <f t="shared" si="13"/>
        <v>0</v>
      </c>
      <c r="U100" s="479">
        <f t="shared" si="14"/>
        <v>0</v>
      </c>
      <c r="V100" s="479">
        <f t="shared" si="15"/>
        <v>0</v>
      </c>
      <c r="W100" s="479">
        <v>0</v>
      </c>
      <c r="X100" s="479">
        <v>0</v>
      </c>
      <c r="Y100" s="479">
        <v>0</v>
      </c>
      <c r="Z100" s="479">
        <v>0</v>
      </c>
      <c r="AA100" s="471">
        <f t="shared" si="16"/>
        <v>0</v>
      </c>
      <c r="AB100" s="471">
        <f t="shared" si="17"/>
        <v>0</v>
      </c>
    </row>
    <row r="101" spans="1:28" x14ac:dyDescent="0.15">
      <c r="A101" s="433"/>
      <c r="B101" s="606"/>
      <c r="C101" s="606"/>
      <c r="D101" s="606"/>
      <c r="E101" s="433"/>
      <c r="F101" s="606"/>
      <c r="G101" s="484" t="s">
        <v>1577</v>
      </c>
      <c r="H101" s="606"/>
      <c r="I101" s="433"/>
      <c r="J101" s="607"/>
      <c r="K101" s="607"/>
      <c r="L101" s="608"/>
      <c r="M101" s="608"/>
      <c r="N101" s="624">
        <f>VLOOKUP(M101,'Salary Schedule'!$B$16:$N$47,L101+1,FALSE)</f>
        <v>0</v>
      </c>
      <c r="O101" s="610"/>
      <c r="P101" s="481">
        <v>0</v>
      </c>
      <c r="Q101" s="609"/>
      <c r="R101" s="479">
        <f t="shared" si="11"/>
        <v>0</v>
      </c>
      <c r="S101" s="479">
        <f t="shared" si="12"/>
        <v>0</v>
      </c>
      <c r="T101" s="479">
        <f t="shared" si="13"/>
        <v>0</v>
      </c>
      <c r="U101" s="479">
        <f t="shared" si="14"/>
        <v>0</v>
      </c>
      <c r="V101" s="479">
        <f t="shared" si="15"/>
        <v>0</v>
      </c>
      <c r="W101" s="479">
        <v>0</v>
      </c>
      <c r="X101" s="479">
        <v>0</v>
      </c>
      <c r="Y101" s="479">
        <v>0</v>
      </c>
      <c r="Z101" s="479">
        <v>0</v>
      </c>
      <c r="AA101" s="471">
        <f t="shared" si="16"/>
        <v>0</v>
      </c>
      <c r="AB101" s="471">
        <f t="shared" si="17"/>
        <v>0</v>
      </c>
    </row>
    <row r="102" spans="1:28" x14ac:dyDescent="0.15">
      <c r="A102" s="433"/>
      <c r="B102" s="606"/>
      <c r="C102" s="606"/>
      <c r="D102" s="606"/>
      <c r="E102" s="433"/>
      <c r="F102" s="606"/>
      <c r="G102" s="484" t="s">
        <v>1577</v>
      </c>
      <c r="H102" s="606"/>
      <c r="I102" s="433"/>
      <c r="J102" s="607"/>
      <c r="K102" s="607"/>
      <c r="L102" s="608"/>
      <c r="M102" s="608"/>
      <c r="N102" s="624">
        <f>VLOOKUP(M102,'Salary Schedule'!$B$16:$N$47,L102+1,FALSE)</f>
        <v>0</v>
      </c>
      <c r="O102" s="610"/>
      <c r="P102" s="481">
        <v>0</v>
      </c>
      <c r="Q102" s="609"/>
      <c r="R102" s="479">
        <f t="shared" si="11"/>
        <v>0</v>
      </c>
      <c r="S102" s="479">
        <f t="shared" si="12"/>
        <v>0</v>
      </c>
      <c r="T102" s="479">
        <f t="shared" si="13"/>
        <v>0</v>
      </c>
      <c r="U102" s="479">
        <f t="shared" si="14"/>
        <v>0</v>
      </c>
      <c r="V102" s="479">
        <f t="shared" si="15"/>
        <v>0</v>
      </c>
      <c r="W102" s="479">
        <v>0</v>
      </c>
      <c r="X102" s="479">
        <v>0</v>
      </c>
      <c r="Y102" s="479">
        <v>0</v>
      </c>
      <c r="Z102" s="479">
        <v>0</v>
      </c>
      <c r="AA102" s="471">
        <f t="shared" si="16"/>
        <v>0</v>
      </c>
      <c r="AB102" s="471">
        <f t="shared" si="17"/>
        <v>0</v>
      </c>
    </row>
    <row r="103" spans="1:28" x14ac:dyDescent="0.15">
      <c r="A103" s="433"/>
      <c r="B103" s="606"/>
      <c r="C103" s="606"/>
      <c r="D103" s="606"/>
      <c r="E103" s="433"/>
      <c r="F103" s="606"/>
      <c r="G103" s="484" t="s">
        <v>1577</v>
      </c>
      <c r="H103" s="606"/>
      <c r="I103" s="433"/>
      <c r="J103" s="607"/>
      <c r="K103" s="607"/>
      <c r="L103" s="608"/>
      <c r="M103" s="608"/>
      <c r="N103" s="624">
        <f>VLOOKUP(M103,'Salary Schedule'!$B$16:$N$47,L103+1,FALSE)</f>
        <v>0</v>
      </c>
      <c r="O103" s="610"/>
      <c r="P103" s="481">
        <v>0</v>
      </c>
      <c r="Q103" s="609"/>
      <c r="R103" s="479">
        <f t="shared" si="11"/>
        <v>0</v>
      </c>
      <c r="S103" s="479">
        <f t="shared" si="12"/>
        <v>0</v>
      </c>
      <c r="T103" s="479">
        <f t="shared" si="13"/>
        <v>0</v>
      </c>
      <c r="U103" s="479">
        <f t="shared" si="14"/>
        <v>0</v>
      </c>
      <c r="V103" s="479">
        <f t="shared" si="15"/>
        <v>0</v>
      </c>
      <c r="W103" s="479">
        <v>0</v>
      </c>
      <c r="X103" s="479">
        <v>0</v>
      </c>
      <c r="Y103" s="479">
        <v>0</v>
      </c>
      <c r="Z103" s="479">
        <v>0</v>
      </c>
      <c r="AA103" s="471">
        <f t="shared" si="16"/>
        <v>0</v>
      </c>
      <c r="AB103" s="471">
        <f t="shared" si="17"/>
        <v>0</v>
      </c>
    </row>
    <row r="104" spans="1:28" x14ac:dyDescent="0.15">
      <c r="A104" s="433"/>
      <c r="B104" s="606"/>
      <c r="C104" s="606"/>
      <c r="D104" s="606"/>
      <c r="E104" s="433"/>
      <c r="F104" s="606"/>
      <c r="G104" s="484" t="s">
        <v>1577</v>
      </c>
      <c r="H104" s="606"/>
      <c r="I104" s="433"/>
      <c r="J104" s="607"/>
      <c r="K104" s="607"/>
      <c r="L104" s="608"/>
      <c r="M104" s="608"/>
      <c r="N104" s="624">
        <f>VLOOKUP(M104,'Salary Schedule'!$B$16:$N$47,L104+1,FALSE)</f>
        <v>0</v>
      </c>
      <c r="O104" s="610"/>
      <c r="P104" s="481">
        <v>0</v>
      </c>
      <c r="Q104" s="609"/>
      <c r="R104" s="479">
        <f t="shared" si="11"/>
        <v>0</v>
      </c>
      <c r="S104" s="479">
        <f t="shared" si="12"/>
        <v>0</v>
      </c>
      <c r="T104" s="479">
        <f t="shared" si="13"/>
        <v>0</v>
      </c>
      <c r="U104" s="479">
        <f t="shared" si="14"/>
        <v>0</v>
      </c>
      <c r="V104" s="479">
        <f t="shared" si="15"/>
        <v>0</v>
      </c>
      <c r="W104" s="479">
        <v>0</v>
      </c>
      <c r="X104" s="479">
        <v>0</v>
      </c>
      <c r="Y104" s="479">
        <v>0</v>
      </c>
      <c r="Z104" s="479">
        <v>0</v>
      </c>
      <c r="AA104" s="471">
        <f t="shared" si="16"/>
        <v>0</v>
      </c>
      <c r="AB104" s="471">
        <f t="shared" si="17"/>
        <v>0</v>
      </c>
    </row>
    <row r="105" spans="1:28" x14ac:dyDescent="0.15">
      <c r="A105" s="433"/>
      <c r="B105" s="606"/>
      <c r="C105" s="606"/>
      <c r="D105" s="606"/>
      <c r="E105" s="433"/>
      <c r="F105" s="606"/>
      <c r="G105" s="484" t="s">
        <v>1577</v>
      </c>
      <c r="H105" s="606"/>
      <c r="I105" s="433"/>
      <c r="J105" s="607"/>
      <c r="K105" s="607"/>
      <c r="L105" s="608"/>
      <c r="M105" s="608"/>
      <c r="N105" s="624">
        <f>VLOOKUP(M105,'Salary Schedule'!$B$16:$N$47,L105+1,FALSE)</f>
        <v>0</v>
      </c>
      <c r="O105" s="610"/>
      <c r="P105" s="481">
        <v>0</v>
      </c>
      <c r="Q105" s="609"/>
      <c r="R105" s="479">
        <f t="shared" si="11"/>
        <v>0</v>
      </c>
      <c r="S105" s="479">
        <f t="shared" si="12"/>
        <v>0</v>
      </c>
      <c r="T105" s="479">
        <f t="shared" si="13"/>
        <v>0</v>
      </c>
      <c r="U105" s="479">
        <f t="shared" si="14"/>
        <v>0</v>
      </c>
      <c r="V105" s="479">
        <f t="shared" si="15"/>
        <v>0</v>
      </c>
      <c r="W105" s="479">
        <v>0</v>
      </c>
      <c r="X105" s="479">
        <v>0</v>
      </c>
      <c r="Y105" s="479">
        <v>0</v>
      </c>
      <c r="Z105" s="479">
        <v>0</v>
      </c>
      <c r="AA105" s="471">
        <f t="shared" si="16"/>
        <v>0</v>
      </c>
      <c r="AB105" s="471">
        <f t="shared" si="17"/>
        <v>0</v>
      </c>
    </row>
    <row r="106" spans="1:28" x14ac:dyDescent="0.15">
      <c r="A106" s="433"/>
      <c r="B106" s="606"/>
      <c r="C106" s="606"/>
      <c r="D106" s="606"/>
      <c r="E106" s="433"/>
      <c r="F106" s="606"/>
      <c r="G106" s="484" t="s">
        <v>1577</v>
      </c>
      <c r="H106" s="606"/>
      <c r="I106" s="433"/>
      <c r="J106" s="607"/>
      <c r="K106" s="607"/>
      <c r="L106" s="608"/>
      <c r="M106" s="608"/>
      <c r="N106" s="624">
        <f>VLOOKUP(M106,'Salary Schedule'!$B$16:$N$47,L106+1,FALSE)</f>
        <v>0</v>
      </c>
      <c r="O106" s="610"/>
      <c r="P106" s="481">
        <v>0</v>
      </c>
      <c r="Q106" s="609"/>
      <c r="R106" s="479">
        <f t="shared" si="11"/>
        <v>0</v>
      </c>
      <c r="S106" s="479">
        <f t="shared" si="12"/>
        <v>0</v>
      </c>
      <c r="T106" s="479">
        <f t="shared" si="13"/>
        <v>0</v>
      </c>
      <c r="U106" s="479">
        <f t="shared" si="14"/>
        <v>0</v>
      </c>
      <c r="V106" s="479">
        <f t="shared" si="15"/>
        <v>0</v>
      </c>
      <c r="W106" s="479">
        <v>0</v>
      </c>
      <c r="X106" s="479">
        <v>0</v>
      </c>
      <c r="Y106" s="479">
        <v>0</v>
      </c>
      <c r="Z106" s="479">
        <v>0</v>
      </c>
      <c r="AA106" s="471">
        <f t="shared" si="16"/>
        <v>0</v>
      </c>
      <c r="AB106" s="471">
        <f t="shared" si="17"/>
        <v>0</v>
      </c>
    </row>
    <row r="107" spans="1:28" x14ac:dyDescent="0.15">
      <c r="A107" s="433"/>
      <c r="B107" s="606"/>
      <c r="C107" s="606"/>
      <c r="D107" s="606"/>
      <c r="E107" s="433"/>
      <c r="F107" s="606"/>
      <c r="G107" s="484" t="s">
        <v>1577</v>
      </c>
      <c r="H107" s="606"/>
      <c r="I107" s="433"/>
      <c r="J107" s="607"/>
      <c r="K107" s="607"/>
      <c r="L107" s="608"/>
      <c r="M107" s="608"/>
      <c r="N107" s="624">
        <f>VLOOKUP(M107,'Salary Schedule'!$B$16:$N$47,L107+1,FALSE)</f>
        <v>0</v>
      </c>
      <c r="O107" s="610"/>
      <c r="P107" s="481">
        <v>0</v>
      </c>
      <c r="Q107" s="609"/>
      <c r="R107" s="479">
        <f t="shared" si="11"/>
        <v>0</v>
      </c>
      <c r="S107" s="479">
        <f t="shared" si="12"/>
        <v>0</v>
      </c>
      <c r="T107" s="479">
        <f t="shared" si="13"/>
        <v>0</v>
      </c>
      <c r="U107" s="479">
        <f t="shared" si="14"/>
        <v>0</v>
      </c>
      <c r="V107" s="479">
        <f t="shared" si="15"/>
        <v>0</v>
      </c>
      <c r="W107" s="479">
        <v>0</v>
      </c>
      <c r="X107" s="479">
        <v>0</v>
      </c>
      <c r="Y107" s="479">
        <v>0</v>
      </c>
      <c r="Z107" s="479">
        <v>0</v>
      </c>
      <c r="AA107" s="471">
        <f t="shared" si="16"/>
        <v>0</v>
      </c>
      <c r="AB107" s="471">
        <f t="shared" si="17"/>
        <v>0</v>
      </c>
    </row>
    <row r="108" spans="1:28" x14ac:dyDescent="0.15">
      <c r="A108" s="433"/>
      <c r="B108" s="606"/>
      <c r="C108" s="606"/>
      <c r="D108" s="606"/>
      <c r="E108" s="433"/>
      <c r="F108" s="606"/>
      <c r="G108" s="484" t="s">
        <v>1577</v>
      </c>
      <c r="H108" s="606"/>
      <c r="I108" s="433"/>
      <c r="J108" s="607"/>
      <c r="K108" s="607"/>
      <c r="L108" s="608"/>
      <c r="M108" s="608"/>
      <c r="N108" s="624">
        <f>VLOOKUP(M108,'Salary Schedule'!$B$16:$N$47,L108+1,FALSE)</f>
        <v>0</v>
      </c>
      <c r="O108" s="610"/>
      <c r="P108" s="481">
        <v>0</v>
      </c>
      <c r="Q108" s="609"/>
      <c r="R108" s="479">
        <f t="shared" si="11"/>
        <v>0</v>
      </c>
      <c r="S108" s="479">
        <f t="shared" si="12"/>
        <v>0</v>
      </c>
      <c r="T108" s="479">
        <f t="shared" si="13"/>
        <v>0</v>
      </c>
      <c r="U108" s="479">
        <f t="shared" si="14"/>
        <v>0</v>
      </c>
      <c r="V108" s="479">
        <f t="shared" si="15"/>
        <v>0</v>
      </c>
      <c r="W108" s="479">
        <v>0</v>
      </c>
      <c r="X108" s="479">
        <v>0</v>
      </c>
      <c r="Y108" s="479">
        <v>0</v>
      </c>
      <c r="Z108" s="479">
        <v>0</v>
      </c>
      <c r="AA108" s="471">
        <f t="shared" si="16"/>
        <v>0</v>
      </c>
      <c r="AB108" s="471">
        <f t="shared" si="17"/>
        <v>0</v>
      </c>
    </row>
    <row r="109" spans="1:28" x14ac:dyDescent="0.15">
      <c r="A109" s="433"/>
      <c r="B109" s="606"/>
      <c r="C109" s="606"/>
      <c r="D109" s="606"/>
      <c r="E109" s="433"/>
      <c r="F109" s="606"/>
      <c r="G109" s="484" t="s">
        <v>1577</v>
      </c>
      <c r="H109" s="606"/>
      <c r="I109" s="433"/>
      <c r="J109" s="607"/>
      <c r="K109" s="607"/>
      <c r="L109" s="608"/>
      <c r="M109" s="608"/>
      <c r="N109" s="624">
        <f>VLOOKUP(M109,'Salary Schedule'!$B$16:$N$47,L109+1,FALSE)</f>
        <v>0</v>
      </c>
      <c r="O109" s="610"/>
      <c r="P109" s="481">
        <v>0</v>
      </c>
      <c r="Q109" s="609"/>
      <c r="R109" s="479">
        <f t="shared" si="11"/>
        <v>0</v>
      </c>
      <c r="S109" s="479">
        <f t="shared" si="12"/>
        <v>0</v>
      </c>
      <c r="T109" s="479">
        <f t="shared" si="13"/>
        <v>0</v>
      </c>
      <c r="U109" s="479">
        <f t="shared" si="14"/>
        <v>0</v>
      </c>
      <c r="V109" s="479">
        <f t="shared" si="15"/>
        <v>0</v>
      </c>
      <c r="W109" s="479">
        <v>0</v>
      </c>
      <c r="X109" s="479">
        <v>0</v>
      </c>
      <c r="Y109" s="479">
        <v>0</v>
      </c>
      <c r="Z109" s="479">
        <v>0</v>
      </c>
      <c r="AA109" s="471">
        <f t="shared" si="16"/>
        <v>0</v>
      </c>
      <c r="AB109" s="471">
        <f t="shared" si="17"/>
        <v>0</v>
      </c>
    </row>
    <row r="110" spans="1:28" x14ac:dyDescent="0.15">
      <c r="A110" s="433"/>
      <c r="B110" s="606"/>
      <c r="C110" s="606"/>
      <c r="D110" s="606"/>
      <c r="E110" s="433"/>
      <c r="F110" s="606"/>
      <c r="G110" s="484" t="s">
        <v>1577</v>
      </c>
      <c r="H110" s="606"/>
      <c r="I110" s="433"/>
      <c r="J110" s="607"/>
      <c r="K110" s="607"/>
      <c r="L110" s="608"/>
      <c r="M110" s="608"/>
      <c r="N110" s="624">
        <f>VLOOKUP(M110,'Salary Schedule'!$B$16:$N$47,L110+1,FALSE)</f>
        <v>0</v>
      </c>
      <c r="O110" s="610"/>
      <c r="P110" s="481">
        <v>0</v>
      </c>
      <c r="Q110" s="609"/>
      <c r="R110" s="479">
        <f t="shared" si="11"/>
        <v>0</v>
      </c>
      <c r="S110" s="479">
        <f t="shared" si="12"/>
        <v>0</v>
      </c>
      <c r="T110" s="479">
        <f t="shared" si="13"/>
        <v>0</v>
      </c>
      <c r="U110" s="479">
        <f t="shared" si="14"/>
        <v>0</v>
      </c>
      <c r="V110" s="479">
        <f t="shared" si="15"/>
        <v>0</v>
      </c>
      <c r="W110" s="479">
        <v>0</v>
      </c>
      <c r="X110" s="479">
        <v>0</v>
      </c>
      <c r="Y110" s="479">
        <v>0</v>
      </c>
      <c r="Z110" s="479">
        <v>0</v>
      </c>
      <c r="AA110" s="471">
        <f t="shared" si="16"/>
        <v>0</v>
      </c>
      <c r="AB110" s="471">
        <f t="shared" si="17"/>
        <v>0</v>
      </c>
    </row>
    <row r="111" spans="1:28" x14ac:dyDescent="0.15">
      <c r="A111" s="433"/>
      <c r="B111" s="606"/>
      <c r="C111" s="606"/>
      <c r="D111" s="606"/>
      <c r="E111" s="433"/>
      <c r="F111" s="606"/>
      <c r="G111" s="484" t="s">
        <v>1577</v>
      </c>
      <c r="H111" s="606"/>
      <c r="I111" s="433"/>
      <c r="J111" s="607"/>
      <c r="K111" s="607"/>
      <c r="L111" s="608"/>
      <c r="M111" s="608"/>
      <c r="N111" s="624">
        <f>VLOOKUP(M111,'Salary Schedule'!$B$16:$N$47,L111+1,FALSE)</f>
        <v>0</v>
      </c>
      <c r="O111" s="610"/>
      <c r="P111" s="481">
        <v>0</v>
      </c>
      <c r="Q111" s="609"/>
      <c r="R111" s="479">
        <f t="shared" si="11"/>
        <v>0</v>
      </c>
      <c r="S111" s="479">
        <f t="shared" si="12"/>
        <v>0</v>
      </c>
      <c r="T111" s="479">
        <f t="shared" si="13"/>
        <v>0</v>
      </c>
      <c r="U111" s="479">
        <f t="shared" si="14"/>
        <v>0</v>
      </c>
      <c r="V111" s="479">
        <f t="shared" si="15"/>
        <v>0</v>
      </c>
      <c r="W111" s="479">
        <v>0</v>
      </c>
      <c r="X111" s="479">
        <v>0</v>
      </c>
      <c r="Y111" s="479">
        <v>0</v>
      </c>
      <c r="Z111" s="479">
        <v>0</v>
      </c>
      <c r="AA111" s="471">
        <f t="shared" si="16"/>
        <v>0</v>
      </c>
      <c r="AB111" s="471">
        <f t="shared" si="17"/>
        <v>0</v>
      </c>
    </row>
    <row r="112" spans="1:28" x14ac:dyDescent="0.15">
      <c r="A112" s="433"/>
      <c r="B112" s="606"/>
      <c r="C112" s="606"/>
      <c r="D112" s="606"/>
      <c r="E112" s="433"/>
      <c r="F112" s="606"/>
      <c r="G112" s="484" t="s">
        <v>1577</v>
      </c>
      <c r="H112" s="606"/>
      <c r="I112" s="433"/>
      <c r="J112" s="607"/>
      <c r="K112" s="607"/>
      <c r="L112" s="608"/>
      <c r="M112" s="608"/>
      <c r="N112" s="624">
        <f>VLOOKUP(M112,'Salary Schedule'!$B$16:$N$47,L112+1,FALSE)</f>
        <v>0</v>
      </c>
      <c r="O112" s="610"/>
      <c r="P112" s="481">
        <v>0</v>
      </c>
      <c r="Q112" s="609"/>
      <c r="R112" s="479">
        <f t="shared" si="11"/>
        <v>0</v>
      </c>
      <c r="S112" s="479">
        <f t="shared" si="12"/>
        <v>0</v>
      </c>
      <c r="T112" s="479">
        <f t="shared" si="13"/>
        <v>0</v>
      </c>
      <c r="U112" s="479">
        <f t="shared" si="14"/>
        <v>0</v>
      </c>
      <c r="V112" s="479">
        <f t="shared" si="15"/>
        <v>0</v>
      </c>
      <c r="W112" s="479">
        <v>0</v>
      </c>
      <c r="X112" s="479">
        <v>0</v>
      </c>
      <c r="Y112" s="479">
        <v>0</v>
      </c>
      <c r="Z112" s="479">
        <v>0</v>
      </c>
      <c r="AA112" s="471">
        <f t="shared" si="16"/>
        <v>0</v>
      </c>
      <c r="AB112" s="471">
        <f t="shared" si="17"/>
        <v>0</v>
      </c>
    </row>
    <row r="113" spans="1:28" x14ac:dyDescent="0.15">
      <c r="A113" s="433"/>
      <c r="B113" s="606"/>
      <c r="C113" s="606"/>
      <c r="D113" s="606"/>
      <c r="E113" s="433"/>
      <c r="F113" s="606"/>
      <c r="G113" s="484" t="s">
        <v>1577</v>
      </c>
      <c r="H113" s="606"/>
      <c r="I113" s="433"/>
      <c r="J113" s="607"/>
      <c r="K113" s="607"/>
      <c r="L113" s="608"/>
      <c r="M113" s="608"/>
      <c r="N113" s="624">
        <f>VLOOKUP(M113,'Salary Schedule'!$B$16:$N$47,L113+1,FALSE)</f>
        <v>0</v>
      </c>
      <c r="O113" s="610"/>
      <c r="P113" s="481">
        <v>0</v>
      </c>
      <c r="Q113" s="609"/>
      <c r="R113" s="479">
        <f t="shared" si="11"/>
        <v>0</v>
      </c>
      <c r="S113" s="479">
        <f t="shared" si="12"/>
        <v>0</v>
      </c>
      <c r="T113" s="479">
        <f t="shared" si="13"/>
        <v>0</v>
      </c>
      <c r="U113" s="479">
        <f t="shared" si="14"/>
        <v>0</v>
      </c>
      <c r="V113" s="479">
        <f t="shared" si="15"/>
        <v>0</v>
      </c>
      <c r="W113" s="479">
        <v>0</v>
      </c>
      <c r="X113" s="479">
        <v>0</v>
      </c>
      <c r="Y113" s="479">
        <v>0</v>
      </c>
      <c r="Z113" s="479">
        <v>0</v>
      </c>
      <c r="AA113" s="471">
        <f t="shared" si="16"/>
        <v>0</v>
      </c>
      <c r="AB113" s="471">
        <f t="shared" si="17"/>
        <v>0</v>
      </c>
    </row>
    <row r="114" spans="1:28" x14ac:dyDescent="0.15">
      <c r="A114" s="433"/>
      <c r="B114" s="606"/>
      <c r="C114" s="606"/>
      <c r="D114" s="606"/>
      <c r="E114" s="433"/>
      <c r="F114" s="606"/>
      <c r="G114" s="484" t="s">
        <v>1577</v>
      </c>
      <c r="H114" s="606"/>
      <c r="I114" s="433"/>
      <c r="J114" s="607"/>
      <c r="K114" s="607"/>
      <c r="L114" s="608"/>
      <c r="M114" s="608"/>
      <c r="N114" s="624">
        <f>VLOOKUP(M114,'Salary Schedule'!$B$16:$N$47,L114+1,FALSE)</f>
        <v>0</v>
      </c>
      <c r="O114" s="610"/>
      <c r="P114" s="481">
        <v>0</v>
      </c>
      <c r="Q114" s="609"/>
      <c r="R114" s="479">
        <f t="shared" si="11"/>
        <v>0</v>
      </c>
      <c r="S114" s="479">
        <f t="shared" si="12"/>
        <v>0</v>
      </c>
      <c r="T114" s="479">
        <f t="shared" si="13"/>
        <v>0</v>
      </c>
      <c r="U114" s="479">
        <f t="shared" si="14"/>
        <v>0</v>
      </c>
      <c r="V114" s="479">
        <f t="shared" si="15"/>
        <v>0</v>
      </c>
      <c r="W114" s="479">
        <v>0</v>
      </c>
      <c r="X114" s="479">
        <v>0</v>
      </c>
      <c r="Y114" s="479">
        <v>0</v>
      </c>
      <c r="Z114" s="479">
        <v>0</v>
      </c>
      <c r="AA114" s="471">
        <f t="shared" si="16"/>
        <v>0</v>
      </c>
      <c r="AB114" s="471">
        <f t="shared" si="17"/>
        <v>0</v>
      </c>
    </row>
    <row r="115" spans="1:28" x14ac:dyDescent="0.15">
      <c r="A115" s="433"/>
      <c r="B115" s="606"/>
      <c r="C115" s="606"/>
      <c r="D115" s="606"/>
      <c r="E115" s="433"/>
      <c r="F115" s="606"/>
      <c r="G115" s="484" t="s">
        <v>1577</v>
      </c>
      <c r="H115" s="606"/>
      <c r="I115" s="433"/>
      <c r="J115" s="607"/>
      <c r="K115" s="607"/>
      <c r="L115" s="608"/>
      <c r="M115" s="608"/>
      <c r="N115" s="624">
        <f>VLOOKUP(M115,'Salary Schedule'!$B$16:$N$47,L115+1,FALSE)</f>
        <v>0</v>
      </c>
      <c r="O115" s="610"/>
      <c r="P115" s="481">
        <v>0</v>
      </c>
      <c r="Q115" s="609"/>
      <c r="R115" s="479">
        <f t="shared" si="11"/>
        <v>0</v>
      </c>
      <c r="S115" s="479">
        <f t="shared" si="12"/>
        <v>0</v>
      </c>
      <c r="T115" s="479">
        <f t="shared" si="13"/>
        <v>0</v>
      </c>
      <c r="U115" s="479">
        <f t="shared" si="14"/>
        <v>0</v>
      </c>
      <c r="V115" s="479">
        <f t="shared" si="15"/>
        <v>0</v>
      </c>
      <c r="W115" s="479">
        <v>0</v>
      </c>
      <c r="X115" s="479">
        <v>0</v>
      </c>
      <c r="Y115" s="479">
        <v>0</v>
      </c>
      <c r="Z115" s="479">
        <v>0</v>
      </c>
      <c r="AA115" s="471">
        <f t="shared" si="16"/>
        <v>0</v>
      </c>
      <c r="AB115" s="471">
        <f t="shared" si="17"/>
        <v>0</v>
      </c>
    </row>
    <row r="116" spans="1:28" x14ac:dyDescent="0.15">
      <c r="A116" s="433"/>
      <c r="B116" s="606"/>
      <c r="C116" s="606"/>
      <c r="D116" s="606"/>
      <c r="E116" s="433"/>
      <c r="F116" s="606"/>
      <c r="G116" s="484" t="s">
        <v>1577</v>
      </c>
      <c r="H116" s="606"/>
      <c r="I116" s="433"/>
      <c r="J116" s="607"/>
      <c r="K116" s="607"/>
      <c r="L116" s="608"/>
      <c r="M116" s="608"/>
      <c r="N116" s="624">
        <f>VLOOKUP(M116,'Salary Schedule'!$B$16:$N$47,L116+1,FALSE)</f>
        <v>0</v>
      </c>
      <c r="O116" s="610"/>
      <c r="P116" s="481">
        <v>0</v>
      </c>
      <c r="Q116" s="609"/>
      <c r="R116" s="479">
        <f t="shared" si="11"/>
        <v>0</v>
      </c>
      <c r="S116" s="479">
        <f t="shared" si="12"/>
        <v>0</v>
      </c>
      <c r="T116" s="479">
        <f t="shared" si="13"/>
        <v>0</v>
      </c>
      <c r="U116" s="479">
        <f t="shared" si="14"/>
        <v>0</v>
      </c>
      <c r="V116" s="479">
        <f t="shared" si="15"/>
        <v>0</v>
      </c>
      <c r="W116" s="479">
        <v>0</v>
      </c>
      <c r="X116" s="479">
        <v>0</v>
      </c>
      <c r="Y116" s="479">
        <v>0</v>
      </c>
      <c r="Z116" s="479">
        <v>0</v>
      </c>
      <c r="AA116" s="471">
        <f t="shared" si="16"/>
        <v>0</v>
      </c>
      <c r="AB116" s="471">
        <f t="shared" si="17"/>
        <v>0</v>
      </c>
    </row>
    <row r="117" spans="1:28" x14ac:dyDescent="0.15">
      <c r="A117" s="433"/>
      <c r="B117" s="606"/>
      <c r="C117" s="606"/>
      <c r="D117" s="606"/>
      <c r="E117" s="433"/>
      <c r="F117" s="606"/>
      <c r="G117" s="484" t="s">
        <v>1577</v>
      </c>
      <c r="H117" s="606"/>
      <c r="I117" s="433"/>
      <c r="J117" s="607"/>
      <c r="K117" s="607"/>
      <c r="L117" s="608"/>
      <c r="M117" s="608"/>
      <c r="N117" s="624">
        <f>VLOOKUP(M117,'Salary Schedule'!$B$16:$N$47,L117+1,FALSE)</f>
        <v>0</v>
      </c>
      <c r="O117" s="610"/>
      <c r="P117" s="481">
        <v>0</v>
      </c>
      <c r="Q117" s="609"/>
      <c r="R117" s="479">
        <f t="shared" si="11"/>
        <v>0</v>
      </c>
      <c r="S117" s="479">
        <f t="shared" si="12"/>
        <v>0</v>
      </c>
      <c r="T117" s="479">
        <f t="shared" si="13"/>
        <v>0</v>
      </c>
      <c r="U117" s="479">
        <f t="shared" si="14"/>
        <v>0</v>
      </c>
      <c r="V117" s="479">
        <f t="shared" si="15"/>
        <v>0</v>
      </c>
      <c r="W117" s="479">
        <v>0</v>
      </c>
      <c r="X117" s="479">
        <v>0</v>
      </c>
      <c r="Y117" s="479">
        <v>0</v>
      </c>
      <c r="Z117" s="479">
        <v>0</v>
      </c>
      <c r="AA117" s="471">
        <f t="shared" si="16"/>
        <v>0</v>
      </c>
      <c r="AB117" s="471">
        <f t="shared" si="17"/>
        <v>0</v>
      </c>
    </row>
    <row r="118" spans="1:28" x14ac:dyDescent="0.15">
      <c r="A118" s="433"/>
      <c r="B118" s="606"/>
      <c r="C118" s="606"/>
      <c r="D118" s="606"/>
      <c r="E118" s="433"/>
      <c r="F118" s="606"/>
      <c r="G118" s="484" t="s">
        <v>1577</v>
      </c>
      <c r="H118" s="606"/>
      <c r="I118" s="433"/>
      <c r="J118" s="607"/>
      <c r="K118" s="607"/>
      <c r="L118" s="608"/>
      <c r="M118" s="608"/>
      <c r="N118" s="624">
        <f>VLOOKUP(M118,'Salary Schedule'!$B$16:$N$47,L118+1,FALSE)</f>
        <v>0</v>
      </c>
      <c r="O118" s="610"/>
      <c r="P118" s="481">
        <v>0</v>
      </c>
      <c r="Q118" s="609"/>
      <c r="R118" s="479">
        <f t="shared" si="11"/>
        <v>0</v>
      </c>
      <c r="S118" s="479">
        <f t="shared" si="12"/>
        <v>0</v>
      </c>
      <c r="T118" s="479">
        <f t="shared" si="13"/>
        <v>0</v>
      </c>
      <c r="U118" s="479">
        <f t="shared" si="14"/>
        <v>0</v>
      </c>
      <c r="V118" s="479">
        <f t="shared" si="15"/>
        <v>0</v>
      </c>
      <c r="W118" s="479">
        <v>0</v>
      </c>
      <c r="X118" s="479">
        <v>0</v>
      </c>
      <c r="Y118" s="479">
        <v>0</v>
      </c>
      <c r="Z118" s="479">
        <v>0</v>
      </c>
      <c r="AA118" s="471">
        <f t="shared" si="16"/>
        <v>0</v>
      </c>
      <c r="AB118" s="471">
        <f t="shared" si="17"/>
        <v>0</v>
      </c>
    </row>
    <row r="119" spans="1:28" x14ac:dyDescent="0.15">
      <c r="A119" s="433"/>
      <c r="B119" s="606"/>
      <c r="C119" s="606"/>
      <c r="D119" s="606"/>
      <c r="E119" s="433"/>
      <c r="F119" s="606"/>
      <c r="G119" s="484" t="s">
        <v>1577</v>
      </c>
      <c r="H119" s="606"/>
      <c r="I119" s="433"/>
      <c r="J119" s="607"/>
      <c r="K119" s="607"/>
      <c r="L119" s="608"/>
      <c r="M119" s="608"/>
      <c r="N119" s="624">
        <f>VLOOKUP(M119,'Salary Schedule'!$B$16:$N$47,L119+1,FALSE)</f>
        <v>0</v>
      </c>
      <c r="O119" s="610"/>
      <c r="P119" s="481">
        <v>0</v>
      </c>
      <c r="Q119" s="609"/>
      <c r="R119" s="479">
        <f t="shared" si="11"/>
        <v>0</v>
      </c>
      <c r="S119" s="479">
        <f t="shared" si="12"/>
        <v>0</v>
      </c>
      <c r="T119" s="479">
        <f t="shared" si="13"/>
        <v>0</v>
      </c>
      <c r="U119" s="479">
        <f t="shared" si="14"/>
        <v>0</v>
      </c>
      <c r="V119" s="479">
        <f t="shared" si="15"/>
        <v>0</v>
      </c>
      <c r="W119" s="479">
        <v>0</v>
      </c>
      <c r="X119" s="479">
        <v>0</v>
      </c>
      <c r="Y119" s="479">
        <v>0</v>
      </c>
      <c r="Z119" s="479">
        <v>0</v>
      </c>
      <c r="AA119" s="471">
        <f t="shared" si="16"/>
        <v>0</v>
      </c>
      <c r="AB119" s="471">
        <f t="shared" si="17"/>
        <v>0</v>
      </c>
    </row>
    <row r="120" spans="1:28" x14ac:dyDescent="0.15">
      <c r="A120" s="433"/>
      <c r="B120" s="606"/>
      <c r="C120" s="606"/>
      <c r="D120" s="606"/>
      <c r="E120" s="433"/>
      <c r="F120" s="606"/>
      <c r="G120" s="484" t="s">
        <v>1577</v>
      </c>
      <c r="H120" s="606"/>
      <c r="I120" s="433"/>
      <c r="J120" s="607"/>
      <c r="K120" s="607"/>
      <c r="L120" s="608"/>
      <c r="M120" s="608"/>
      <c r="N120" s="624">
        <f>VLOOKUP(M120,'Salary Schedule'!$B$16:$N$47,L120+1,FALSE)</f>
        <v>0</v>
      </c>
      <c r="O120" s="610"/>
      <c r="P120" s="481">
        <v>0</v>
      </c>
      <c r="Q120" s="609"/>
      <c r="R120" s="479">
        <f t="shared" si="11"/>
        <v>0</v>
      </c>
      <c r="S120" s="479">
        <f t="shared" si="12"/>
        <v>0</v>
      </c>
      <c r="T120" s="479">
        <f t="shared" si="13"/>
        <v>0</v>
      </c>
      <c r="U120" s="479">
        <f t="shared" si="14"/>
        <v>0</v>
      </c>
      <c r="V120" s="479">
        <f t="shared" si="15"/>
        <v>0</v>
      </c>
      <c r="W120" s="479">
        <v>0</v>
      </c>
      <c r="X120" s="479">
        <v>0</v>
      </c>
      <c r="Y120" s="479">
        <v>0</v>
      </c>
      <c r="Z120" s="479">
        <v>0</v>
      </c>
      <c r="AA120" s="471">
        <f t="shared" si="16"/>
        <v>0</v>
      </c>
      <c r="AB120" s="471">
        <f t="shared" si="17"/>
        <v>0</v>
      </c>
    </row>
    <row r="121" spans="1:28" x14ac:dyDescent="0.15">
      <c r="A121" s="433"/>
      <c r="B121" s="606"/>
      <c r="C121" s="606"/>
      <c r="D121" s="606"/>
      <c r="E121" s="433"/>
      <c r="F121" s="606"/>
      <c r="G121" s="484" t="s">
        <v>1577</v>
      </c>
      <c r="H121" s="606"/>
      <c r="I121" s="433"/>
      <c r="J121" s="607"/>
      <c r="K121" s="607"/>
      <c r="L121" s="608"/>
      <c r="M121" s="608"/>
      <c r="N121" s="624">
        <f>VLOOKUP(M121,'Salary Schedule'!$B$16:$N$47,L121+1,FALSE)</f>
        <v>0</v>
      </c>
      <c r="O121" s="610"/>
      <c r="P121" s="481">
        <v>0</v>
      </c>
      <c r="Q121" s="609"/>
      <c r="R121" s="479">
        <f t="shared" si="11"/>
        <v>0</v>
      </c>
      <c r="S121" s="479">
        <f t="shared" si="12"/>
        <v>0</v>
      </c>
      <c r="T121" s="479">
        <f t="shared" si="13"/>
        <v>0</v>
      </c>
      <c r="U121" s="479">
        <f t="shared" si="14"/>
        <v>0</v>
      </c>
      <c r="V121" s="479">
        <f t="shared" si="15"/>
        <v>0</v>
      </c>
      <c r="W121" s="479">
        <v>0</v>
      </c>
      <c r="X121" s="479">
        <v>0</v>
      </c>
      <c r="Y121" s="479">
        <v>0</v>
      </c>
      <c r="Z121" s="479">
        <v>0</v>
      </c>
      <c r="AA121" s="471">
        <f t="shared" si="16"/>
        <v>0</v>
      </c>
      <c r="AB121" s="471">
        <f t="shared" si="17"/>
        <v>0</v>
      </c>
    </row>
    <row r="122" spans="1:28" x14ac:dyDescent="0.15">
      <c r="A122" s="433"/>
      <c r="B122" s="606"/>
      <c r="C122" s="606"/>
      <c r="D122" s="606"/>
      <c r="E122" s="433"/>
      <c r="F122" s="606"/>
      <c r="G122" s="484" t="s">
        <v>1577</v>
      </c>
      <c r="H122" s="606"/>
      <c r="I122" s="433"/>
      <c r="J122" s="607"/>
      <c r="K122" s="607"/>
      <c r="L122" s="608"/>
      <c r="M122" s="608"/>
      <c r="N122" s="624">
        <f>VLOOKUP(M122,'Salary Schedule'!$B$16:$N$47,L122+1,FALSE)</f>
        <v>0</v>
      </c>
      <c r="O122" s="610"/>
      <c r="P122" s="481">
        <v>0</v>
      </c>
      <c r="Q122" s="609"/>
      <c r="R122" s="479">
        <f t="shared" si="11"/>
        <v>0</v>
      </c>
      <c r="S122" s="479">
        <f t="shared" si="12"/>
        <v>0</v>
      </c>
      <c r="T122" s="479">
        <f t="shared" si="13"/>
        <v>0</v>
      </c>
      <c r="U122" s="479">
        <f t="shared" si="14"/>
        <v>0</v>
      </c>
      <c r="V122" s="479">
        <f t="shared" si="15"/>
        <v>0</v>
      </c>
      <c r="W122" s="479">
        <v>0</v>
      </c>
      <c r="X122" s="479">
        <v>0</v>
      </c>
      <c r="Y122" s="479">
        <v>0</v>
      </c>
      <c r="Z122" s="479">
        <v>0</v>
      </c>
      <c r="AA122" s="471">
        <f t="shared" si="16"/>
        <v>0</v>
      </c>
      <c r="AB122" s="471">
        <f t="shared" si="17"/>
        <v>0</v>
      </c>
    </row>
    <row r="123" spans="1:28" x14ac:dyDescent="0.15">
      <c r="A123" s="433"/>
      <c r="B123" s="606"/>
      <c r="C123" s="606"/>
      <c r="D123" s="606"/>
      <c r="E123" s="433"/>
      <c r="F123" s="606"/>
      <c r="G123" s="484" t="s">
        <v>1577</v>
      </c>
      <c r="H123" s="606"/>
      <c r="I123" s="433"/>
      <c r="J123" s="607"/>
      <c r="K123" s="607"/>
      <c r="L123" s="608"/>
      <c r="M123" s="608"/>
      <c r="N123" s="624">
        <f>VLOOKUP(M123,'Salary Schedule'!$B$16:$N$47,L123+1,FALSE)</f>
        <v>0</v>
      </c>
      <c r="O123" s="610"/>
      <c r="P123" s="481">
        <v>0</v>
      </c>
      <c r="Q123" s="609"/>
      <c r="R123" s="479">
        <f t="shared" si="11"/>
        <v>0</v>
      </c>
      <c r="S123" s="479">
        <f t="shared" si="12"/>
        <v>0</v>
      </c>
      <c r="T123" s="479">
        <f t="shared" si="13"/>
        <v>0</v>
      </c>
      <c r="U123" s="479">
        <f t="shared" si="14"/>
        <v>0</v>
      </c>
      <c r="V123" s="479">
        <f t="shared" si="15"/>
        <v>0</v>
      </c>
      <c r="W123" s="479">
        <v>0</v>
      </c>
      <c r="X123" s="479">
        <v>0</v>
      </c>
      <c r="Y123" s="479">
        <v>0</v>
      </c>
      <c r="Z123" s="479">
        <v>0</v>
      </c>
      <c r="AA123" s="471">
        <f t="shared" si="16"/>
        <v>0</v>
      </c>
      <c r="AB123" s="471">
        <f t="shared" si="17"/>
        <v>0</v>
      </c>
    </row>
    <row r="124" spans="1:28" x14ac:dyDescent="0.15">
      <c r="A124" s="433"/>
      <c r="B124" s="606"/>
      <c r="C124" s="606"/>
      <c r="D124" s="606"/>
      <c r="E124" s="433"/>
      <c r="F124" s="606"/>
      <c r="G124" s="484" t="s">
        <v>1577</v>
      </c>
      <c r="H124" s="606"/>
      <c r="I124" s="433"/>
      <c r="J124" s="607"/>
      <c r="K124" s="607"/>
      <c r="L124" s="608"/>
      <c r="M124" s="608"/>
      <c r="N124" s="624">
        <f>VLOOKUP(M124,'Salary Schedule'!$B$16:$N$47,L124+1,FALSE)</f>
        <v>0</v>
      </c>
      <c r="O124" s="610"/>
      <c r="P124" s="481">
        <v>0</v>
      </c>
      <c r="Q124" s="609"/>
      <c r="R124" s="479">
        <f t="shared" si="11"/>
        <v>0</v>
      </c>
      <c r="S124" s="479">
        <f t="shared" si="12"/>
        <v>0</v>
      </c>
      <c r="T124" s="479">
        <f t="shared" si="13"/>
        <v>0</v>
      </c>
      <c r="U124" s="479">
        <f t="shared" si="14"/>
        <v>0</v>
      </c>
      <c r="V124" s="479">
        <f t="shared" si="15"/>
        <v>0</v>
      </c>
      <c r="W124" s="479">
        <v>0</v>
      </c>
      <c r="X124" s="479">
        <v>0</v>
      </c>
      <c r="Y124" s="479">
        <v>0</v>
      </c>
      <c r="Z124" s="479">
        <v>0</v>
      </c>
      <c r="AA124" s="471">
        <f t="shared" si="16"/>
        <v>0</v>
      </c>
      <c r="AB124" s="471">
        <f t="shared" si="17"/>
        <v>0</v>
      </c>
    </row>
    <row r="125" spans="1:28" x14ac:dyDescent="0.15">
      <c r="A125" s="433"/>
      <c r="B125" s="606"/>
      <c r="C125" s="606"/>
      <c r="D125" s="606"/>
      <c r="E125" s="433"/>
      <c r="F125" s="606"/>
      <c r="G125" s="484" t="s">
        <v>1577</v>
      </c>
      <c r="H125" s="606"/>
      <c r="I125" s="433"/>
      <c r="J125" s="607"/>
      <c r="K125" s="607"/>
      <c r="L125" s="608"/>
      <c r="M125" s="608"/>
      <c r="N125" s="624">
        <f>VLOOKUP(M125,'Salary Schedule'!$B$16:$N$47,L125+1,FALSE)</f>
        <v>0</v>
      </c>
      <c r="O125" s="610"/>
      <c r="P125" s="481">
        <v>0</v>
      </c>
      <c r="Q125" s="609"/>
      <c r="R125" s="479">
        <f t="shared" si="11"/>
        <v>0</v>
      </c>
      <c r="S125" s="479">
        <f t="shared" si="12"/>
        <v>0</v>
      </c>
      <c r="T125" s="479">
        <f t="shared" si="13"/>
        <v>0</v>
      </c>
      <c r="U125" s="479">
        <f t="shared" si="14"/>
        <v>0</v>
      </c>
      <c r="V125" s="479">
        <f t="shared" si="15"/>
        <v>0</v>
      </c>
      <c r="W125" s="479">
        <v>0</v>
      </c>
      <c r="X125" s="479">
        <v>0</v>
      </c>
      <c r="Y125" s="479">
        <v>0</v>
      </c>
      <c r="Z125" s="479">
        <v>0</v>
      </c>
      <c r="AA125" s="471">
        <f t="shared" si="16"/>
        <v>0</v>
      </c>
      <c r="AB125" s="471">
        <f t="shared" si="17"/>
        <v>0</v>
      </c>
    </row>
    <row r="126" spans="1:28" x14ac:dyDescent="0.15">
      <c r="A126" s="433"/>
      <c r="B126" s="606"/>
      <c r="C126" s="606"/>
      <c r="D126" s="606"/>
      <c r="E126" s="433"/>
      <c r="F126" s="606"/>
      <c r="G126" s="484" t="s">
        <v>1577</v>
      </c>
      <c r="H126" s="606"/>
      <c r="I126" s="433"/>
      <c r="J126" s="607"/>
      <c r="K126" s="607"/>
      <c r="L126" s="608"/>
      <c r="M126" s="608"/>
      <c r="N126" s="624">
        <f>VLOOKUP(M126,'Salary Schedule'!$B$16:$N$47,L126+1,FALSE)</f>
        <v>0</v>
      </c>
      <c r="O126" s="610"/>
      <c r="P126" s="481">
        <v>0</v>
      </c>
      <c r="Q126" s="609"/>
      <c r="R126" s="479">
        <f t="shared" si="11"/>
        <v>0</v>
      </c>
      <c r="S126" s="479">
        <f t="shared" si="12"/>
        <v>0</v>
      </c>
      <c r="T126" s="479">
        <f t="shared" si="13"/>
        <v>0</v>
      </c>
      <c r="U126" s="479">
        <f t="shared" si="14"/>
        <v>0</v>
      </c>
      <c r="V126" s="479">
        <f t="shared" si="15"/>
        <v>0</v>
      </c>
      <c r="W126" s="479">
        <v>0</v>
      </c>
      <c r="X126" s="479">
        <v>0</v>
      </c>
      <c r="Y126" s="479">
        <v>0</v>
      </c>
      <c r="Z126" s="479">
        <v>0</v>
      </c>
      <c r="AA126" s="471">
        <f t="shared" si="16"/>
        <v>0</v>
      </c>
      <c r="AB126" s="471">
        <f t="shared" si="17"/>
        <v>0</v>
      </c>
    </row>
    <row r="127" spans="1:28" x14ac:dyDescent="0.15">
      <c r="A127" s="433"/>
      <c r="B127" s="606"/>
      <c r="C127" s="606"/>
      <c r="D127" s="606"/>
      <c r="E127" s="433"/>
      <c r="F127" s="606"/>
      <c r="G127" s="484" t="s">
        <v>1577</v>
      </c>
      <c r="H127" s="606"/>
      <c r="I127" s="433"/>
      <c r="J127" s="607"/>
      <c r="K127" s="607"/>
      <c r="L127" s="608"/>
      <c r="M127" s="608"/>
      <c r="N127" s="624">
        <f>VLOOKUP(M127,'Salary Schedule'!$B$16:$N$47,L127+1,FALSE)</f>
        <v>0</v>
      </c>
      <c r="O127" s="610"/>
      <c r="P127" s="481">
        <v>0</v>
      </c>
      <c r="Q127" s="609"/>
      <c r="R127" s="479">
        <f t="shared" si="11"/>
        <v>0</v>
      </c>
      <c r="S127" s="479">
        <f t="shared" si="12"/>
        <v>0</v>
      </c>
      <c r="T127" s="479">
        <f t="shared" si="13"/>
        <v>0</v>
      </c>
      <c r="U127" s="479">
        <f t="shared" si="14"/>
        <v>0</v>
      </c>
      <c r="V127" s="479">
        <f t="shared" si="15"/>
        <v>0</v>
      </c>
      <c r="W127" s="479">
        <v>0</v>
      </c>
      <c r="X127" s="479">
        <v>0</v>
      </c>
      <c r="Y127" s="479">
        <v>0</v>
      </c>
      <c r="Z127" s="479">
        <v>0</v>
      </c>
      <c r="AA127" s="471">
        <f t="shared" si="16"/>
        <v>0</v>
      </c>
      <c r="AB127" s="471">
        <f t="shared" si="17"/>
        <v>0</v>
      </c>
    </row>
    <row r="128" spans="1:28" x14ac:dyDescent="0.15">
      <c r="A128" s="433"/>
      <c r="B128" s="606"/>
      <c r="C128" s="606"/>
      <c r="D128" s="606"/>
      <c r="E128" s="433"/>
      <c r="F128" s="606"/>
      <c r="G128" s="484" t="s">
        <v>1577</v>
      </c>
      <c r="H128" s="606"/>
      <c r="I128" s="433"/>
      <c r="J128" s="607"/>
      <c r="K128" s="607"/>
      <c r="L128" s="608"/>
      <c r="M128" s="608"/>
      <c r="N128" s="624">
        <f>VLOOKUP(M128,'Salary Schedule'!$B$16:$N$47,L128+1,FALSE)</f>
        <v>0</v>
      </c>
      <c r="O128" s="610"/>
      <c r="P128" s="481">
        <v>0</v>
      </c>
      <c r="Q128" s="609"/>
      <c r="R128" s="479">
        <f t="shared" si="11"/>
        <v>0</v>
      </c>
      <c r="S128" s="479">
        <f t="shared" si="12"/>
        <v>0</v>
      </c>
      <c r="T128" s="479">
        <f t="shared" si="13"/>
        <v>0</v>
      </c>
      <c r="U128" s="479">
        <f t="shared" si="14"/>
        <v>0</v>
      </c>
      <c r="V128" s="479">
        <f t="shared" si="15"/>
        <v>0</v>
      </c>
      <c r="W128" s="479">
        <v>0</v>
      </c>
      <c r="X128" s="479">
        <v>0</v>
      </c>
      <c r="Y128" s="479">
        <v>0</v>
      </c>
      <c r="Z128" s="479">
        <v>0</v>
      </c>
      <c r="AA128" s="471">
        <f t="shared" si="16"/>
        <v>0</v>
      </c>
      <c r="AB128" s="471">
        <f t="shared" si="17"/>
        <v>0</v>
      </c>
    </row>
    <row r="129" spans="1:28" x14ac:dyDescent="0.15">
      <c r="A129" s="433"/>
      <c r="B129" s="606"/>
      <c r="C129" s="606"/>
      <c r="D129" s="606"/>
      <c r="E129" s="433"/>
      <c r="F129" s="606"/>
      <c r="G129" s="484" t="s">
        <v>1577</v>
      </c>
      <c r="H129" s="606"/>
      <c r="I129" s="433"/>
      <c r="J129" s="607"/>
      <c r="K129" s="607"/>
      <c r="L129" s="608"/>
      <c r="M129" s="608"/>
      <c r="N129" s="624">
        <f>VLOOKUP(M129,'Salary Schedule'!$B$16:$N$47,L129+1,FALSE)</f>
        <v>0</v>
      </c>
      <c r="O129" s="610"/>
      <c r="P129" s="481">
        <v>0</v>
      </c>
      <c r="Q129" s="609"/>
      <c r="R129" s="479">
        <f t="shared" si="11"/>
        <v>0</v>
      </c>
      <c r="S129" s="479">
        <f t="shared" si="12"/>
        <v>0</v>
      </c>
      <c r="T129" s="479">
        <f t="shared" si="13"/>
        <v>0</v>
      </c>
      <c r="U129" s="479">
        <f t="shared" si="14"/>
        <v>0</v>
      </c>
      <c r="V129" s="479">
        <f t="shared" si="15"/>
        <v>0</v>
      </c>
      <c r="W129" s="479">
        <v>0</v>
      </c>
      <c r="X129" s="479">
        <v>0</v>
      </c>
      <c r="Y129" s="479">
        <v>0</v>
      </c>
      <c r="Z129" s="479">
        <v>0</v>
      </c>
      <c r="AA129" s="471">
        <f t="shared" si="16"/>
        <v>0</v>
      </c>
      <c r="AB129" s="471">
        <f t="shared" si="17"/>
        <v>0</v>
      </c>
    </row>
    <row r="130" spans="1:28" x14ac:dyDescent="0.15">
      <c r="A130" s="433"/>
      <c r="B130" s="606"/>
      <c r="C130" s="606"/>
      <c r="D130" s="606"/>
      <c r="E130" s="433"/>
      <c r="F130" s="606"/>
      <c r="G130" s="484" t="s">
        <v>1577</v>
      </c>
      <c r="H130" s="606"/>
      <c r="I130" s="433"/>
      <c r="J130" s="607"/>
      <c r="K130" s="607"/>
      <c r="L130" s="608"/>
      <c r="M130" s="608"/>
      <c r="N130" s="624">
        <f>VLOOKUP(M130,'Salary Schedule'!$B$16:$N$47,L130+1,FALSE)</f>
        <v>0</v>
      </c>
      <c r="O130" s="610"/>
      <c r="P130" s="481">
        <v>0</v>
      </c>
      <c r="Q130" s="609"/>
      <c r="R130" s="479">
        <f t="shared" si="11"/>
        <v>0</v>
      </c>
      <c r="S130" s="479">
        <f t="shared" si="12"/>
        <v>0</v>
      </c>
      <c r="T130" s="479">
        <f t="shared" si="13"/>
        <v>0</v>
      </c>
      <c r="U130" s="479">
        <f t="shared" si="14"/>
        <v>0</v>
      </c>
      <c r="V130" s="479">
        <f t="shared" si="15"/>
        <v>0</v>
      </c>
      <c r="W130" s="479">
        <v>0</v>
      </c>
      <c r="X130" s="479">
        <v>0</v>
      </c>
      <c r="Y130" s="479">
        <v>0</v>
      </c>
      <c r="Z130" s="479">
        <v>0</v>
      </c>
      <c r="AA130" s="471">
        <f t="shared" si="16"/>
        <v>0</v>
      </c>
      <c r="AB130" s="471">
        <f t="shared" si="17"/>
        <v>0</v>
      </c>
    </row>
    <row r="131" spans="1:28" x14ac:dyDescent="0.15">
      <c r="A131" s="433"/>
      <c r="B131" s="606"/>
      <c r="C131" s="606"/>
      <c r="D131" s="606"/>
      <c r="E131" s="433"/>
      <c r="F131" s="606"/>
      <c r="G131" s="484" t="s">
        <v>1577</v>
      </c>
      <c r="H131" s="606"/>
      <c r="I131" s="433"/>
      <c r="J131" s="607"/>
      <c r="K131" s="607"/>
      <c r="L131" s="608"/>
      <c r="M131" s="608"/>
      <c r="N131" s="624">
        <f>VLOOKUP(M131,'Salary Schedule'!$B$16:$N$47,L131+1,FALSE)</f>
        <v>0</v>
      </c>
      <c r="O131" s="610"/>
      <c r="P131" s="481">
        <v>0</v>
      </c>
      <c r="Q131" s="609"/>
      <c r="R131" s="479">
        <f t="shared" si="11"/>
        <v>0</v>
      </c>
      <c r="S131" s="479">
        <f t="shared" si="12"/>
        <v>0</v>
      </c>
      <c r="T131" s="479">
        <f t="shared" si="13"/>
        <v>0</v>
      </c>
      <c r="U131" s="479">
        <f t="shared" si="14"/>
        <v>0</v>
      </c>
      <c r="V131" s="479">
        <f t="shared" si="15"/>
        <v>0</v>
      </c>
      <c r="W131" s="479">
        <v>0</v>
      </c>
      <c r="X131" s="479">
        <v>0</v>
      </c>
      <c r="Y131" s="479">
        <v>0</v>
      </c>
      <c r="Z131" s="479">
        <v>0</v>
      </c>
      <c r="AA131" s="471">
        <f t="shared" si="16"/>
        <v>0</v>
      </c>
      <c r="AB131" s="471">
        <f t="shared" si="17"/>
        <v>0</v>
      </c>
    </row>
    <row r="132" spans="1:28" x14ac:dyDescent="0.15">
      <c r="A132" s="433"/>
      <c r="B132" s="606"/>
      <c r="C132" s="606"/>
      <c r="D132" s="606"/>
      <c r="E132" s="433"/>
      <c r="F132" s="606"/>
      <c r="G132" s="484" t="s">
        <v>1577</v>
      </c>
      <c r="H132" s="606"/>
      <c r="I132" s="433"/>
      <c r="J132" s="607"/>
      <c r="K132" s="607"/>
      <c r="L132" s="608"/>
      <c r="M132" s="608"/>
      <c r="N132" s="624">
        <f>VLOOKUP(M132,'Salary Schedule'!$B$16:$N$47,L132+1,FALSE)</f>
        <v>0</v>
      </c>
      <c r="O132" s="610"/>
      <c r="P132" s="481">
        <v>0</v>
      </c>
      <c r="Q132" s="609"/>
      <c r="R132" s="479">
        <f t="shared" si="11"/>
        <v>0</v>
      </c>
      <c r="S132" s="479">
        <f t="shared" si="12"/>
        <v>0</v>
      </c>
      <c r="T132" s="479">
        <f t="shared" si="13"/>
        <v>0</v>
      </c>
      <c r="U132" s="479">
        <f t="shared" si="14"/>
        <v>0</v>
      </c>
      <c r="V132" s="479">
        <f t="shared" si="15"/>
        <v>0</v>
      </c>
      <c r="W132" s="479">
        <v>0</v>
      </c>
      <c r="X132" s="479">
        <v>0</v>
      </c>
      <c r="Y132" s="479">
        <v>0</v>
      </c>
      <c r="Z132" s="479">
        <v>0</v>
      </c>
      <c r="AA132" s="471">
        <f t="shared" si="16"/>
        <v>0</v>
      </c>
      <c r="AB132" s="471">
        <f t="shared" si="17"/>
        <v>0</v>
      </c>
    </row>
    <row r="133" spans="1:28" x14ac:dyDescent="0.15">
      <c r="A133" s="433"/>
      <c r="B133" s="606"/>
      <c r="C133" s="606"/>
      <c r="D133" s="606"/>
      <c r="E133" s="433"/>
      <c r="F133" s="606"/>
      <c r="G133" s="484" t="s">
        <v>1577</v>
      </c>
      <c r="H133" s="606"/>
      <c r="I133" s="433"/>
      <c r="J133" s="607"/>
      <c r="K133" s="607"/>
      <c r="L133" s="608"/>
      <c r="M133" s="608"/>
      <c r="N133" s="624">
        <f>VLOOKUP(M133,'Salary Schedule'!$B$16:$N$47,L133+1,FALSE)</f>
        <v>0</v>
      </c>
      <c r="O133" s="610"/>
      <c r="P133" s="481">
        <v>0</v>
      </c>
      <c r="Q133" s="609"/>
      <c r="R133" s="479">
        <f t="shared" si="11"/>
        <v>0</v>
      </c>
      <c r="S133" s="479">
        <f t="shared" si="12"/>
        <v>0</v>
      </c>
      <c r="T133" s="479">
        <f t="shared" si="13"/>
        <v>0</v>
      </c>
      <c r="U133" s="479">
        <f t="shared" si="14"/>
        <v>0</v>
      </c>
      <c r="V133" s="479">
        <f t="shared" si="15"/>
        <v>0</v>
      </c>
      <c r="W133" s="479">
        <v>0</v>
      </c>
      <c r="X133" s="479">
        <v>0</v>
      </c>
      <c r="Y133" s="479">
        <v>0</v>
      </c>
      <c r="Z133" s="479">
        <v>0</v>
      </c>
      <c r="AA133" s="471">
        <f t="shared" si="16"/>
        <v>0</v>
      </c>
      <c r="AB133" s="471">
        <f t="shared" si="17"/>
        <v>0</v>
      </c>
    </row>
    <row r="134" spans="1:28" x14ac:dyDescent="0.15">
      <c r="A134" s="433"/>
      <c r="B134" s="606"/>
      <c r="C134" s="606"/>
      <c r="D134" s="606"/>
      <c r="E134" s="433"/>
      <c r="F134" s="606"/>
      <c r="G134" s="484" t="s">
        <v>1577</v>
      </c>
      <c r="H134" s="606"/>
      <c r="I134" s="433"/>
      <c r="J134" s="607"/>
      <c r="K134" s="607"/>
      <c r="L134" s="608"/>
      <c r="M134" s="608"/>
      <c r="N134" s="624">
        <f>VLOOKUP(M134,'Salary Schedule'!$B$16:$N$47,L134+1,FALSE)</f>
        <v>0</v>
      </c>
      <c r="O134" s="610"/>
      <c r="P134" s="481">
        <v>0</v>
      </c>
      <c r="Q134" s="609"/>
      <c r="R134" s="479">
        <f t="shared" si="11"/>
        <v>0</v>
      </c>
      <c r="S134" s="479">
        <f t="shared" si="12"/>
        <v>0</v>
      </c>
      <c r="T134" s="479">
        <f t="shared" si="13"/>
        <v>0</v>
      </c>
      <c r="U134" s="479">
        <f t="shared" si="14"/>
        <v>0</v>
      </c>
      <c r="V134" s="479">
        <f t="shared" si="15"/>
        <v>0</v>
      </c>
      <c r="W134" s="479">
        <v>0</v>
      </c>
      <c r="X134" s="479">
        <v>0</v>
      </c>
      <c r="Y134" s="479">
        <v>0</v>
      </c>
      <c r="Z134" s="479">
        <v>0</v>
      </c>
      <c r="AA134" s="471">
        <f t="shared" si="16"/>
        <v>0</v>
      </c>
      <c r="AB134" s="471">
        <f t="shared" si="17"/>
        <v>0</v>
      </c>
    </row>
    <row r="135" spans="1:28" x14ac:dyDescent="0.15">
      <c r="A135" s="433"/>
      <c r="B135" s="606"/>
      <c r="C135" s="606"/>
      <c r="D135" s="606"/>
      <c r="E135" s="433"/>
      <c r="F135" s="606"/>
      <c r="G135" s="484" t="s">
        <v>1577</v>
      </c>
      <c r="H135" s="606"/>
      <c r="I135" s="433"/>
      <c r="J135" s="607"/>
      <c r="K135" s="607"/>
      <c r="L135" s="608"/>
      <c r="M135" s="608"/>
      <c r="N135" s="624">
        <f>VLOOKUP(M135,'Salary Schedule'!$B$16:$N$47,L135+1,FALSE)</f>
        <v>0</v>
      </c>
      <c r="O135" s="610"/>
      <c r="P135" s="481">
        <v>0</v>
      </c>
      <c r="Q135" s="609"/>
      <c r="R135" s="479">
        <f t="shared" si="11"/>
        <v>0</v>
      </c>
      <c r="S135" s="479">
        <f t="shared" si="12"/>
        <v>0</v>
      </c>
      <c r="T135" s="479">
        <f t="shared" si="13"/>
        <v>0</v>
      </c>
      <c r="U135" s="479">
        <f t="shared" si="14"/>
        <v>0</v>
      </c>
      <c r="V135" s="479">
        <f t="shared" si="15"/>
        <v>0</v>
      </c>
      <c r="W135" s="479">
        <v>0</v>
      </c>
      <c r="X135" s="479">
        <v>0</v>
      </c>
      <c r="Y135" s="479">
        <v>0</v>
      </c>
      <c r="Z135" s="479">
        <v>0</v>
      </c>
      <c r="AA135" s="471">
        <f t="shared" si="16"/>
        <v>0</v>
      </c>
      <c r="AB135" s="471">
        <f t="shared" si="17"/>
        <v>0</v>
      </c>
    </row>
    <row r="136" spans="1:28" x14ac:dyDescent="0.15">
      <c r="A136" s="433"/>
      <c r="B136" s="606"/>
      <c r="C136" s="606"/>
      <c r="D136" s="606"/>
      <c r="E136" s="433"/>
      <c r="F136" s="606"/>
      <c r="G136" s="484" t="s">
        <v>1577</v>
      </c>
      <c r="H136" s="606"/>
      <c r="I136" s="433"/>
      <c r="J136" s="607"/>
      <c r="K136" s="607"/>
      <c r="L136" s="608"/>
      <c r="M136" s="608"/>
      <c r="N136" s="624">
        <f>VLOOKUP(M136,'Salary Schedule'!$B$16:$N$47,L136+1,FALSE)</f>
        <v>0</v>
      </c>
      <c r="O136" s="610"/>
      <c r="P136" s="481">
        <v>0</v>
      </c>
      <c r="Q136" s="609"/>
      <c r="R136" s="479">
        <f t="shared" si="11"/>
        <v>0</v>
      </c>
      <c r="S136" s="479">
        <f t="shared" si="12"/>
        <v>0</v>
      </c>
      <c r="T136" s="479">
        <f t="shared" si="13"/>
        <v>0</v>
      </c>
      <c r="U136" s="479">
        <f t="shared" si="14"/>
        <v>0</v>
      </c>
      <c r="V136" s="479">
        <f t="shared" si="15"/>
        <v>0</v>
      </c>
      <c r="W136" s="479">
        <v>0</v>
      </c>
      <c r="X136" s="479">
        <v>0</v>
      </c>
      <c r="Y136" s="479">
        <v>0</v>
      </c>
      <c r="Z136" s="479">
        <v>0</v>
      </c>
      <c r="AA136" s="471">
        <f t="shared" si="16"/>
        <v>0</v>
      </c>
      <c r="AB136" s="471">
        <f t="shared" si="17"/>
        <v>0</v>
      </c>
    </row>
    <row r="137" spans="1:28" x14ac:dyDescent="0.15">
      <c r="A137" s="433"/>
      <c r="B137" s="606"/>
      <c r="C137" s="606"/>
      <c r="D137" s="606"/>
      <c r="E137" s="433"/>
      <c r="F137" s="606"/>
      <c r="G137" s="484" t="s">
        <v>1577</v>
      </c>
      <c r="H137" s="606"/>
      <c r="I137" s="433"/>
      <c r="J137" s="607"/>
      <c r="K137" s="607"/>
      <c r="L137" s="608"/>
      <c r="M137" s="608"/>
      <c r="N137" s="624">
        <f>VLOOKUP(M137,'Salary Schedule'!$B$16:$N$47,L137+1,FALSE)</f>
        <v>0</v>
      </c>
      <c r="O137" s="610"/>
      <c r="P137" s="481">
        <v>0</v>
      </c>
      <c r="Q137" s="609"/>
      <c r="R137" s="479">
        <f t="shared" si="11"/>
        <v>0</v>
      </c>
      <c r="S137" s="479">
        <f t="shared" si="12"/>
        <v>0</v>
      </c>
      <c r="T137" s="479">
        <f t="shared" si="13"/>
        <v>0</v>
      </c>
      <c r="U137" s="479">
        <f t="shared" si="14"/>
        <v>0</v>
      </c>
      <c r="V137" s="479">
        <f t="shared" si="15"/>
        <v>0</v>
      </c>
      <c r="W137" s="479">
        <v>0</v>
      </c>
      <c r="X137" s="479">
        <v>0</v>
      </c>
      <c r="Y137" s="479">
        <v>0</v>
      </c>
      <c r="Z137" s="479">
        <v>0</v>
      </c>
      <c r="AA137" s="471">
        <f t="shared" si="16"/>
        <v>0</v>
      </c>
      <c r="AB137" s="471">
        <f t="shared" si="17"/>
        <v>0</v>
      </c>
    </row>
    <row r="138" spans="1:28" x14ac:dyDescent="0.15">
      <c r="A138" s="433"/>
      <c r="B138" s="606"/>
      <c r="C138" s="606"/>
      <c r="D138" s="606"/>
      <c r="E138" s="433"/>
      <c r="F138" s="606"/>
      <c r="G138" s="484" t="s">
        <v>1577</v>
      </c>
      <c r="H138" s="606"/>
      <c r="I138" s="433"/>
      <c r="J138" s="607"/>
      <c r="K138" s="607"/>
      <c r="L138" s="608"/>
      <c r="M138" s="608"/>
      <c r="N138" s="624">
        <f>VLOOKUP(M138,'Salary Schedule'!$B$16:$N$47,L138+1,FALSE)</f>
        <v>0</v>
      </c>
      <c r="O138" s="610"/>
      <c r="P138" s="481">
        <v>0</v>
      </c>
      <c r="Q138" s="609"/>
      <c r="R138" s="479">
        <f t="shared" si="11"/>
        <v>0</v>
      </c>
      <c r="S138" s="479">
        <f t="shared" si="12"/>
        <v>0</v>
      </c>
      <c r="T138" s="479">
        <f t="shared" si="13"/>
        <v>0</v>
      </c>
      <c r="U138" s="479">
        <f t="shared" si="14"/>
        <v>0</v>
      </c>
      <c r="V138" s="479">
        <f t="shared" si="15"/>
        <v>0</v>
      </c>
      <c r="W138" s="479">
        <v>0</v>
      </c>
      <c r="X138" s="479">
        <v>0</v>
      </c>
      <c r="Y138" s="479">
        <v>0</v>
      </c>
      <c r="Z138" s="479">
        <v>0</v>
      </c>
      <c r="AA138" s="471">
        <f t="shared" si="16"/>
        <v>0</v>
      </c>
      <c r="AB138" s="471">
        <f t="shared" si="17"/>
        <v>0</v>
      </c>
    </row>
    <row r="139" spans="1:28" x14ac:dyDescent="0.15">
      <c r="A139" s="433"/>
      <c r="B139" s="606"/>
      <c r="C139" s="606"/>
      <c r="D139" s="606"/>
      <c r="E139" s="433"/>
      <c r="F139" s="606"/>
      <c r="G139" s="484" t="s">
        <v>1577</v>
      </c>
      <c r="H139" s="606"/>
      <c r="I139" s="433"/>
      <c r="J139" s="607"/>
      <c r="K139" s="607"/>
      <c r="L139" s="608"/>
      <c r="M139" s="608"/>
      <c r="N139" s="624">
        <f>VLOOKUP(M139,'Salary Schedule'!$B$16:$N$47,L139+1,FALSE)</f>
        <v>0</v>
      </c>
      <c r="O139" s="610"/>
      <c r="P139" s="481">
        <v>0</v>
      </c>
      <c r="Q139" s="609"/>
      <c r="R139" s="479">
        <f t="shared" si="11"/>
        <v>0</v>
      </c>
      <c r="S139" s="479">
        <f t="shared" si="12"/>
        <v>0</v>
      </c>
      <c r="T139" s="479">
        <f t="shared" si="13"/>
        <v>0</v>
      </c>
      <c r="U139" s="479">
        <f t="shared" si="14"/>
        <v>0</v>
      </c>
      <c r="V139" s="479">
        <f t="shared" si="15"/>
        <v>0</v>
      </c>
      <c r="W139" s="479">
        <v>0</v>
      </c>
      <c r="X139" s="479">
        <v>0</v>
      </c>
      <c r="Y139" s="479">
        <v>0</v>
      </c>
      <c r="Z139" s="479">
        <v>0</v>
      </c>
      <c r="AA139" s="471">
        <f t="shared" si="16"/>
        <v>0</v>
      </c>
      <c r="AB139" s="471">
        <f t="shared" si="17"/>
        <v>0</v>
      </c>
    </row>
    <row r="140" spans="1:28" x14ac:dyDescent="0.15">
      <c r="A140" s="433"/>
      <c r="B140" s="606"/>
      <c r="C140" s="606"/>
      <c r="D140" s="606"/>
      <c r="E140" s="433"/>
      <c r="F140" s="606"/>
      <c r="G140" s="484" t="s">
        <v>1577</v>
      </c>
      <c r="H140" s="606"/>
      <c r="I140" s="433"/>
      <c r="J140" s="607"/>
      <c r="K140" s="607"/>
      <c r="L140" s="608"/>
      <c r="M140" s="608"/>
      <c r="N140" s="624">
        <f>VLOOKUP(M140,'Salary Schedule'!$B$16:$N$47,L140+1,FALSE)</f>
        <v>0</v>
      </c>
      <c r="O140" s="610"/>
      <c r="P140" s="481">
        <v>0</v>
      </c>
      <c r="Q140" s="609"/>
      <c r="R140" s="479">
        <f t="shared" ref="R140:R201" si="18">ROUND((+N140*P140),0)</f>
        <v>0</v>
      </c>
      <c r="S140" s="479">
        <f t="shared" ref="S140:S201" si="19">+R140*$S$4</f>
        <v>0</v>
      </c>
      <c r="T140" s="479">
        <f t="shared" ref="T140:T201" si="20">+R140*$T$4</f>
        <v>0</v>
      </c>
      <c r="U140" s="479">
        <f t="shared" ref="U140:U201" si="21">+R140*$U$4</f>
        <v>0</v>
      </c>
      <c r="V140" s="479">
        <f t="shared" ref="V140:V201" si="22">($V$3*12)*P140</f>
        <v>0</v>
      </c>
      <c r="W140" s="479">
        <v>0</v>
      </c>
      <c r="X140" s="479">
        <v>0</v>
      </c>
      <c r="Y140" s="479">
        <v>0</v>
      </c>
      <c r="Z140" s="479">
        <v>0</v>
      </c>
      <c r="AA140" s="471">
        <f t="shared" ref="AA140:AA201" si="23">ROUND((SUM(S140:Z140)),0)</f>
        <v>0</v>
      </c>
      <c r="AB140" s="471">
        <f t="shared" ref="AB140:AB201" si="24">ROUND((+R140+AA140),0)</f>
        <v>0</v>
      </c>
    </row>
    <row r="141" spans="1:28" x14ac:dyDescent="0.15">
      <c r="A141" s="433"/>
      <c r="B141" s="606"/>
      <c r="C141" s="606"/>
      <c r="D141" s="606"/>
      <c r="E141" s="433"/>
      <c r="F141" s="606"/>
      <c r="G141" s="484" t="s">
        <v>1577</v>
      </c>
      <c r="H141" s="606"/>
      <c r="I141" s="433"/>
      <c r="J141" s="607"/>
      <c r="K141" s="607"/>
      <c r="L141" s="608"/>
      <c r="M141" s="608"/>
      <c r="N141" s="624">
        <f>VLOOKUP(M141,'Salary Schedule'!$B$16:$N$47,L141+1,FALSE)</f>
        <v>0</v>
      </c>
      <c r="O141" s="610"/>
      <c r="P141" s="481">
        <v>0</v>
      </c>
      <c r="Q141" s="609"/>
      <c r="R141" s="479">
        <f t="shared" si="18"/>
        <v>0</v>
      </c>
      <c r="S141" s="479">
        <f t="shared" si="19"/>
        <v>0</v>
      </c>
      <c r="T141" s="479">
        <f t="shared" si="20"/>
        <v>0</v>
      </c>
      <c r="U141" s="479">
        <f t="shared" si="21"/>
        <v>0</v>
      </c>
      <c r="V141" s="479">
        <f t="shared" si="22"/>
        <v>0</v>
      </c>
      <c r="W141" s="479">
        <v>0</v>
      </c>
      <c r="X141" s="479">
        <v>0</v>
      </c>
      <c r="Y141" s="479">
        <v>0</v>
      </c>
      <c r="Z141" s="479">
        <v>0</v>
      </c>
      <c r="AA141" s="471">
        <f t="shared" si="23"/>
        <v>0</v>
      </c>
      <c r="AB141" s="471">
        <f t="shared" si="24"/>
        <v>0</v>
      </c>
    </row>
    <row r="142" spans="1:28" x14ac:dyDescent="0.15">
      <c r="A142" s="433"/>
      <c r="B142" s="606"/>
      <c r="C142" s="606"/>
      <c r="D142" s="606"/>
      <c r="E142" s="433"/>
      <c r="F142" s="606"/>
      <c r="G142" s="484" t="s">
        <v>1577</v>
      </c>
      <c r="H142" s="606"/>
      <c r="I142" s="433"/>
      <c r="J142" s="607"/>
      <c r="K142" s="607"/>
      <c r="L142" s="608"/>
      <c r="M142" s="608"/>
      <c r="N142" s="624">
        <f>VLOOKUP(M142,'Salary Schedule'!$B$16:$N$47,L142+1,FALSE)</f>
        <v>0</v>
      </c>
      <c r="O142" s="610"/>
      <c r="P142" s="481">
        <v>0</v>
      </c>
      <c r="Q142" s="609"/>
      <c r="R142" s="479">
        <f t="shared" si="18"/>
        <v>0</v>
      </c>
      <c r="S142" s="479">
        <f t="shared" si="19"/>
        <v>0</v>
      </c>
      <c r="T142" s="479">
        <f t="shared" si="20"/>
        <v>0</v>
      </c>
      <c r="U142" s="479">
        <f t="shared" si="21"/>
        <v>0</v>
      </c>
      <c r="V142" s="479">
        <f t="shared" si="22"/>
        <v>0</v>
      </c>
      <c r="W142" s="479">
        <v>0</v>
      </c>
      <c r="X142" s="479">
        <v>0</v>
      </c>
      <c r="Y142" s="479">
        <v>0</v>
      </c>
      <c r="Z142" s="479">
        <v>0</v>
      </c>
      <c r="AA142" s="471">
        <f t="shared" si="23"/>
        <v>0</v>
      </c>
      <c r="AB142" s="471">
        <f t="shared" si="24"/>
        <v>0</v>
      </c>
    </row>
    <row r="143" spans="1:28" x14ac:dyDescent="0.15">
      <c r="A143" s="433"/>
      <c r="B143" s="606"/>
      <c r="C143" s="606"/>
      <c r="D143" s="606"/>
      <c r="E143" s="433"/>
      <c r="F143" s="606"/>
      <c r="G143" s="484" t="s">
        <v>1577</v>
      </c>
      <c r="H143" s="606"/>
      <c r="I143" s="433"/>
      <c r="J143" s="607"/>
      <c r="K143" s="607"/>
      <c r="L143" s="608"/>
      <c r="M143" s="608"/>
      <c r="N143" s="624">
        <f>VLOOKUP(M143,'Salary Schedule'!$B$16:$N$47,L143+1,FALSE)</f>
        <v>0</v>
      </c>
      <c r="O143" s="610"/>
      <c r="P143" s="481">
        <v>0</v>
      </c>
      <c r="Q143" s="609"/>
      <c r="R143" s="479">
        <f t="shared" si="18"/>
        <v>0</v>
      </c>
      <c r="S143" s="479">
        <f t="shared" si="19"/>
        <v>0</v>
      </c>
      <c r="T143" s="479">
        <f t="shared" si="20"/>
        <v>0</v>
      </c>
      <c r="U143" s="479">
        <f t="shared" si="21"/>
        <v>0</v>
      </c>
      <c r="V143" s="479">
        <f t="shared" si="22"/>
        <v>0</v>
      </c>
      <c r="W143" s="479">
        <v>0</v>
      </c>
      <c r="X143" s="479">
        <v>0</v>
      </c>
      <c r="Y143" s="479">
        <v>0</v>
      </c>
      <c r="Z143" s="479">
        <v>0</v>
      </c>
      <c r="AA143" s="471">
        <f t="shared" si="23"/>
        <v>0</v>
      </c>
      <c r="AB143" s="471">
        <f t="shared" si="24"/>
        <v>0</v>
      </c>
    </row>
    <row r="144" spans="1:28" x14ac:dyDescent="0.15">
      <c r="A144" s="433"/>
      <c r="B144" s="606"/>
      <c r="C144" s="606"/>
      <c r="D144" s="606"/>
      <c r="E144" s="433"/>
      <c r="F144" s="606"/>
      <c r="G144" s="484" t="s">
        <v>1577</v>
      </c>
      <c r="H144" s="606"/>
      <c r="I144" s="433"/>
      <c r="J144" s="607"/>
      <c r="K144" s="607"/>
      <c r="L144" s="608"/>
      <c r="M144" s="608"/>
      <c r="N144" s="624">
        <f>VLOOKUP(M144,'Salary Schedule'!$B$16:$N$47,L144+1,FALSE)</f>
        <v>0</v>
      </c>
      <c r="O144" s="610"/>
      <c r="P144" s="481">
        <v>0</v>
      </c>
      <c r="Q144" s="609"/>
      <c r="R144" s="479">
        <f t="shared" si="18"/>
        <v>0</v>
      </c>
      <c r="S144" s="479">
        <f t="shared" si="19"/>
        <v>0</v>
      </c>
      <c r="T144" s="479">
        <f t="shared" si="20"/>
        <v>0</v>
      </c>
      <c r="U144" s="479">
        <f t="shared" si="21"/>
        <v>0</v>
      </c>
      <c r="V144" s="479">
        <f t="shared" si="22"/>
        <v>0</v>
      </c>
      <c r="W144" s="479">
        <v>0</v>
      </c>
      <c r="X144" s="479">
        <v>0</v>
      </c>
      <c r="Y144" s="479">
        <v>0</v>
      </c>
      <c r="Z144" s="479">
        <v>0</v>
      </c>
      <c r="AA144" s="471">
        <f t="shared" si="23"/>
        <v>0</v>
      </c>
      <c r="AB144" s="471">
        <f t="shared" si="24"/>
        <v>0</v>
      </c>
    </row>
    <row r="145" spans="1:28" x14ac:dyDescent="0.15">
      <c r="A145" s="433"/>
      <c r="B145" s="606"/>
      <c r="C145" s="606"/>
      <c r="D145" s="606"/>
      <c r="E145" s="433"/>
      <c r="F145" s="606"/>
      <c r="G145" s="484" t="s">
        <v>1577</v>
      </c>
      <c r="H145" s="606"/>
      <c r="I145" s="433"/>
      <c r="J145" s="607"/>
      <c r="K145" s="607"/>
      <c r="L145" s="608"/>
      <c r="M145" s="608"/>
      <c r="N145" s="624">
        <f>VLOOKUP(M145,'Salary Schedule'!$B$16:$N$47,L145+1,FALSE)</f>
        <v>0</v>
      </c>
      <c r="O145" s="610"/>
      <c r="P145" s="481">
        <v>0</v>
      </c>
      <c r="Q145" s="609"/>
      <c r="R145" s="479">
        <f t="shared" si="18"/>
        <v>0</v>
      </c>
      <c r="S145" s="479">
        <f t="shared" si="19"/>
        <v>0</v>
      </c>
      <c r="T145" s="479">
        <f t="shared" si="20"/>
        <v>0</v>
      </c>
      <c r="U145" s="479">
        <f t="shared" si="21"/>
        <v>0</v>
      </c>
      <c r="V145" s="479">
        <f t="shared" si="22"/>
        <v>0</v>
      </c>
      <c r="W145" s="479">
        <v>0</v>
      </c>
      <c r="X145" s="479">
        <v>0</v>
      </c>
      <c r="Y145" s="479">
        <v>0</v>
      </c>
      <c r="Z145" s="479">
        <v>0</v>
      </c>
      <c r="AA145" s="471">
        <f t="shared" si="23"/>
        <v>0</v>
      </c>
      <c r="AB145" s="471">
        <f t="shared" si="24"/>
        <v>0</v>
      </c>
    </row>
    <row r="146" spans="1:28" x14ac:dyDescent="0.15">
      <c r="A146" s="433"/>
      <c r="B146" s="606"/>
      <c r="C146" s="606"/>
      <c r="D146" s="606"/>
      <c r="E146" s="433"/>
      <c r="F146" s="606"/>
      <c r="G146" s="484" t="s">
        <v>1577</v>
      </c>
      <c r="H146" s="606"/>
      <c r="I146" s="433"/>
      <c r="J146" s="607"/>
      <c r="K146" s="607"/>
      <c r="L146" s="608"/>
      <c r="M146" s="608"/>
      <c r="N146" s="624">
        <f>VLOOKUP(M146,'Salary Schedule'!$B$16:$N$47,L146+1,FALSE)</f>
        <v>0</v>
      </c>
      <c r="O146" s="610"/>
      <c r="P146" s="481">
        <v>0</v>
      </c>
      <c r="Q146" s="609"/>
      <c r="R146" s="479">
        <f t="shared" si="18"/>
        <v>0</v>
      </c>
      <c r="S146" s="479">
        <f t="shared" si="19"/>
        <v>0</v>
      </c>
      <c r="T146" s="479">
        <f t="shared" si="20"/>
        <v>0</v>
      </c>
      <c r="U146" s="479">
        <f t="shared" si="21"/>
        <v>0</v>
      </c>
      <c r="V146" s="479">
        <f t="shared" si="22"/>
        <v>0</v>
      </c>
      <c r="W146" s="479">
        <v>0</v>
      </c>
      <c r="X146" s="479">
        <v>0</v>
      </c>
      <c r="Y146" s="479">
        <v>0</v>
      </c>
      <c r="Z146" s="479">
        <v>0</v>
      </c>
      <c r="AA146" s="471">
        <f t="shared" si="23"/>
        <v>0</v>
      </c>
      <c r="AB146" s="471">
        <f t="shared" si="24"/>
        <v>0</v>
      </c>
    </row>
    <row r="147" spans="1:28" x14ac:dyDescent="0.15">
      <c r="A147" s="433"/>
      <c r="B147" s="606"/>
      <c r="C147" s="606"/>
      <c r="D147" s="606"/>
      <c r="E147" s="433"/>
      <c r="F147" s="606"/>
      <c r="G147" s="484" t="s">
        <v>1577</v>
      </c>
      <c r="H147" s="606"/>
      <c r="I147" s="433"/>
      <c r="J147" s="607"/>
      <c r="K147" s="607"/>
      <c r="L147" s="608"/>
      <c r="M147" s="608"/>
      <c r="N147" s="624">
        <f>VLOOKUP(M147,'Salary Schedule'!$B$16:$N$47,L147+1,FALSE)</f>
        <v>0</v>
      </c>
      <c r="O147" s="610"/>
      <c r="P147" s="481">
        <v>0</v>
      </c>
      <c r="Q147" s="609"/>
      <c r="R147" s="479">
        <f t="shared" si="18"/>
        <v>0</v>
      </c>
      <c r="S147" s="479">
        <f t="shared" si="19"/>
        <v>0</v>
      </c>
      <c r="T147" s="479">
        <f t="shared" si="20"/>
        <v>0</v>
      </c>
      <c r="U147" s="479">
        <f t="shared" si="21"/>
        <v>0</v>
      </c>
      <c r="V147" s="479">
        <f t="shared" si="22"/>
        <v>0</v>
      </c>
      <c r="W147" s="479">
        <v>0</v>
      </c>
      <c r="X147" s="479">
        <v>0</v>
      </c>
      <c r="Y147" s="479">
        <v>0</v>
      </c>
      <c r="Z147" s="479">
        <v>0</v>
      </c>
      <c r="AA147" s="471">
        <f t="shared" si="23"/>
        <v>0</v>
      </c>
      <c r="AB147" s="471">
        <f t="shared" si="24"/>
        <v>0</v>
      </c>
    </row>
    <row r="148" spans="1:28" x14ac:dyDescent="0.15">
      <c r="A148" s="433"/>
      <c r="B148" s="606"/>
      <c r="C148" s="606"/>
      <c r="D148" s="606"/>
      <c r="E148" s="433"/>
      <c r="F148" s="606"/>
      <c r="G148" s="484" t="s">
        <v>1577</v>
      </c>
      <c r="H148" s="606"/>
      <c r="I148" s="433"/>
      <c r="J148" s="607"/>
      <c r="K148" s="607"/>
      <c r="L148" s="608"/>
      <c r="M148" s="608"/>
      <c r="N148" s="624">
        <f>VLOOKUP(M148,'Salary Schedule'!$B$16:$N$47,L148+1,FALSE)</f>
        <v>0</v>
      </c>
      <c r="O148" s="610"/>
      <c r="P148" s="481">
        <v>0</v>
      </c>
      <c r="Q148" s="609"/>
      <c r="R148" s="479">
        <f t="shared" si="18"/>
        <v>0</v>
      </c>
      <c r="S148" s="479">
        <f t="shared" si="19"/>
        <v>0</v>
      </c>
      <c r="T148" s="479">
        <f t="shared" si="20"/>
        <v>0</v>
      </c>
      <c r="U148" s="479">
        <f t="shared" si="21"/>
        <v>0</v>
      </c>
      <c r="V148" s="479">
        <f t="shared" si="22"/>
        <v>0</v>
      </c>
      <c r="W148" s="479">
        <v>0</v>
      </c>
      <c r="X148" s="479">
        <v>0</v>
      </c>
      <c r="Y148" s="479">
        <v>0</v>
      </c>
      <c r="Z148" s="479">
        <v>0</v>
      </c>
      <c r="AA148" s="471">
        <f t="shared" si="23"/>
        <v>0</v>
      </c>
      <c r="AB148" s="471">
        <f t="shared" si="24"/>
        <v>0</v>
      </c>
    </row>
    <row r="149" spans="1:28" x14ac:dyDescent="0.15">
      <c r="A149" s="433"/>
      <c r="B149" s="606"/>
      <c r="C149" s="606"/>
      <c r="D149" s="606"/>
      <c r="E149" s="433"/>
      <c r="F149" s="606"/>
      <c r="G149" s="484" t="s">
        <v>1577</v>
      </c>
      <c r="H149" s="606"/>
      <c r="I149" s="433"/>
      <c r="J149" s="607"/>
      <c r="K149" s="607"/>
      <c r="L149" s="608"/>
      <c r="M149" s="608"/>
      <c r="N149" s="624">
        <f>VLOOKUP(M149,'Salary Schedule'!$B$16:$N$47,L149+1,FALSE)</f>
        <v>0</v>
      </c>
      <c r="O149" s="610"/>
      <c r="P149" s="481">
        <v>0</v>
      </c>
      <c r="Q149" s="609"/>
      <c r="R149" s="479">
        <f t="shared" si="18"/>
        <v>0</v>
      </c>
      <c r="S149" s="479">
        <f t="shared" si="19"/>
        <v>0</v>
      </c>
      <c r="T149" s="479">
        <f t="shared" si="20"/>
        <v>0</v>
      </c>
      <c r="U149" s="479">
        <f t="shared" si="21"/>
        <v>0</v>
      </c>
      <c r="V149" s="479">
        <f t="shared" si="22"/>
        <v>0</v>
      </c>
      <c r="W149" s="479">
        <v>0</v>
      </c>
      <c r="X149" s="479">
        <v>0</v>
      </c>
      <c r="Y149" s="479">
        <v>0</v>
      </c>
      <c r="Z149" s="479">
        <v>0</v>
      </c>
      <c r="AA149" s="471">
        <f t="shared" si="23"/>
        <v>0</v>
      </c>
      <c r="AB149" s="471">
        <f t="shared" si="24"/>
        <v>0</v>
      </c>
    </row>
    <row r="150" spans="1:28" x14ac:dyDescent="0.15">
      <c r="A150" s="433"/>
      <c r="B150" s="606"/>
      <c r="C150" s="606"/>
      <c r="D150" s="606"/>
      <c r="E150" s="433"/>
      <c r="F150" s="606"/>
      <c r="G150" s="484" t="s">
        <v>1577</v>
      </c>
      <c r="H150" s="606"/>
      <c r="I150" s="433"/>
      <c r="J150" s="607"/>
      <c r="K150" s="607"/>
      <c r="L150" s="608"/>
      <c r="M150" s="608"/>
      <c r="N150" s="624">
        <f>VLOOKUP(M150,'Salary Schedule'!$B$16:$N$47,L150+1,FALSE)</f>
        <v>0</v>
      </c>
      <c r="O150" s="610"/>
      <c r="P150" s="481">
        <v>0</v>
      </c>
      <c r="Q150" s="609"/>
      <c r="R150" s="479">
        <f t="shared" si="18"/>
        <v>0</v>
      </c>
      <c r="S150" s="479">
        <f t="shared" si="19"/>
        <v>0</v>
      </c>
      <c r="T150" s="479">
        <f t="shared" si="20"/>
        <v>0</v>
      </c>
      <c r="U150" s="479">
        <f t="shared" si="21"/>
        <v>0</v>
      </c>
      <c r="V150" s="479">
        <f t="shared" si="22"/>
        <v>0</v>
      </c>
      <c r="W150" s="479">
        <v>0</v>
      </c>
      <c r="X150" s="479">
        <v>0</v>
      </c>
      <c r="Y150" s="479">
        <v>0</v>
      </c>
      <c r="Z150" s="479">
        <v>0</v>
      </c>
      <c r="AA150" s="471">
        <f t="shared" si="23"/>
        <v>0</v>
      </c>
      <c r="AB150" s="471">
        <f t="shared" si="24"/>
        <v>0</v>
      </c>
    </row>
    <row r="151" spans="1:28" x14ac:dyDescent="0.15">
      <c r="A151" s="433"/>
      <c r="B151" s="606"/>
      <c r="C151" s="606"/>
      <c r="D151" s="606"/>
      <c r="E151" s="433"/>
      <c r="F151" s="606"/>
      <c r="G151" s="484" t="s">
        <v>1577</v>
      </c>
      <c r="H151" s="606"/>
      <c r="I151" s="433"/>
      <c r="J151" s="607"/>
      <c r="K151" s="607"/>
      <c r="L151" s="608"/>
      <c r="M151" s="608"/>
      <c r="N151" s="624">
        <f>VLOOKUP(M151,'Salary Schedule'!$B$16:$N$47,L151+1,FALSE)</f>
        <v>0</v>
      </c>
      <c r="O151" s="610"/>
      <c r="P151" s="481">
        <v>0</v>
      </c>
      <c r="Q151" s="609"/>
      <c r="R151" s="479">
        <f t="shared" si="18"/>
        <v>0</v>
      </c>
      <c r="S151" s="479">
        <f t="shared" si="19"/>
        <v>0</v>
      </c>
      <c r="T151" s="479">
        <f t="shared" si="20"/>
        <v>0</v>
      </c>
      <c r="U151" s="479">
        <f t="shared" si="21"/>
        <v>0</v>
      </c>
      <c r="V151" s="479">
        <f t="shared" si="22"/>
        <v>0</v>
      </c>
      <c r="W151" s="479">
        <v>0</v>
      </c>
      <c r="X151" s="479">
        <v>0</v>
      </c>
      <c r="Y151" s="479">
        <v>0</v>
      </c>
      <c r="Z151" s="479">
        <v>0</v>
      </c>
      <c r="AA151" s="471">
        <f t="shared" si="23"/>
        <v>0</v>
      </c>
      <c r="AB151" s="471">
        <f t="shared" si="24"/>
        <v>0</v>
      </c>
    </row>
    <row r="152" spans="1:28" x14ac:dyDescent="0.15">
      <c r="A152" s="433"/>
      <c r="B152" s="606"/>
      <c r="C152" s="606"/>
      <c r="D152" s="606"/>
      <c r="E152" s="433"/>
      <c r="F152" s="606"/>
      <c r="G152" s="484" t="s">
        <v>1577</v>
      </c>
      <c r="H152" s="606"/>
      <c r="I152" s="433"/>
      <c r="J152" s="607"/>
      <c r="K152" s="607"/>
      <c r="L152" s="608"/>
      <c r="M152" s="608"/>
      <c r="N152" s="624">
        <f>VLOOKUP(M152,'Salary Schedule'!$B$16:$N$47,L152+1,FALSE)</f>
        <v>0</v>
      </c>
      <c r="O152" s="610"/>
      <c r="P152" s="481">
        <v>0</v>
      </c>
      <c r="Q152" s="609"/>
      <c r="R152" s="479">
        <f t="shared" si="18"/>
        <v>0</v>
      </c>
      <c r="S152" s="479">
        <f t="shared" si="19"/>
        <v>0</v>
      </c>
      <c r="T152" s="479">
        <f t="shared" si="20"/>
        <v>0</v>
      </c>
      <c r="U152" s="479">
        <f t="shared" si="21"/>
        <v>0</v>
      </c>
      <c r="V152" s="479">
        <f t="shared" si="22"/>
        <v>0</v>
      </c>
      <c r="W152" s="479">
        <v>0</v>
      </c>
      <c r="X152" s="479">
        <v>0</v>
      </c>
      <c r="Y152" s="479">
        <v>0</v>
      </c>
      <c r="Z152" s="479">
        <v>0</v>
      </c>
      <c r="AA152" s="471">
        <f t="shared" si="23"/>
        <v>0</v>
      </c>
      <c r="AB152" s="471">
        <f t="shared" si="24"/>
        <v>0</v>
      </c>
    </row>
    <row r="153" spans="1:28" x14ac:dyDescent="0.15">
      <c r="A153" s="433"/>
      <c r="B153" s="606"/>
      <c r="C153" s="606"/>
      <c r="D153" s="606"/>
      <c r="E153" s="433"/>
      <c r="F153" s="606"/>
      <c r="G153" s="484" t="s">
        <v>1577</v>
      </c>
      <c r="H153" s="606"/>
      <c r="I153" s="433"/>
      <c r="J153" s="607"/>
      <c r="K153" s="607"/>
      <c r="L153" s="608"/>
      <c r="M153" s="608"/>
      <c r="N153" s="624">
        <f>VLOOKUP(M153,'Salary Schedule'!$B$16:$N$47,L153+1,FALSE)</f>
        <v>0</v>
      </c>
      <c r="O153" s="610"/>
      <c r="P153" s="481">
        <v>0</v>
      </c>
      <c r="Q153" s="609"/>
      <c r="R153" s="479">
        <f t="shared" si="18"/>
        <v>0</v>
      </c>
      <c r="S153" s="479">
        <f t="shared" si="19"/>
        <v>0</v>
      </c>
      <c r="T153" s="479">
        <f t="shared" si="20"/>
        <v>0</v>
      </c>
      <c r="U153" s="479">
        <f t="shared" si="21"/>
        <v>0</v>
      </c>
      <c r="V153" s="479">
        <f t="shared" si="22"/>
        <v>0</v>
      </c>
      <c r="W153" s="479">
        <v>0</v>
      </c>
      <c r="X153" s="479">
        <v>0</v>
      </c>
      <c r="Y153" s="479">
        <v>0</v>
      </c>
      <c r="Z153" s="479">
        <v>0</v>
      </c>
      <c r="AA153" s="471">
        <f t="shared" si="23"/>
        <v>0</v>
      </c>
      <c r="AB153" s="471">
        <f t="shared" si="24"/>
        <v>0</v>
      </c>
    </row>
    <row r="154" spans="1:28" x14ac:dyDescent="0.15">
      <c r="A154" s="433"/>
      <c r="B154" s="606"/>
      <c r="C154" s="606"/>
      <c r="D154" s="606"/>
      <c r="E154" s="433"/>
      <c r="F154" s="606"/>
      <c r="G154" s="484" t="s">
        <v>1577</v>
      </c>
      <c r="H154" s="606"/>
      <c r="I154" s="433"/>
      <c r="J154" s="607"/>
      <c r="K154" s="607"/>
      <c r="L154" s="608"/>
      <c r="M154" s="608"/>
      <c r="N154" s="624">
        <f>VLOOKUP(M154,'Salary Schedule'!$B$16:$N$47,L154+1,FALSE)</f>
        <v>0</v>
      </c>
      <c r="O154" s="610"/>
      <c r="P154" s="481">
        <v>0</v>
      </c>
      <c r="Q154" s="609"/>
      <c r="R154" s="479">
        <f t="shared" si="18"/>
        <v>0</v>
      </c>
      <c r="S154" s="479">
        <f t="shared" si="19"/>
        <v>0</v>
      </c>
      <c r="T154" s="479">
        <f t="shared" si="20"/>
        <v>0</v>
      </c>
      <c r="U154" s="479">
        <f t="shared" si="21"/>
        <v>0</v>
      </c>
      <c r="V154" s="479">
        <f t="shared" si="22"/>
        <v>0</v>
      </c>
      <c r="W154" s="479">
        <v>0</v>
      </c>
      <c r="X154" s="479">
        <v>0</v>
      </c>
      <c r="Y154" s="479">
        <v>0</v>
      </c>
      <c r="Z154" s="479">
        <v>0</v>
      </c>
      <c r="AA154" s="471">
        <f t="shared" si="23"/>
        <v>0</v>
      </c>
      <c r="AB154" s="471">
        <f t="shared" si="24"/>
        <v>0</v>
      </c>
    </row>
    <row r="155" spans="1:28" x14ac:dyDescent="0.15">
      <c r="A155" s="433"/>
      <c r="B155" s="606"/>
      <c r="C155" s="606"/>
      <c r="D155" s="606"/>
      <c r="E155" s="433"/>
      <c r="F155" s="606"/>
      <c r="G155" s="484" t="s">
        <v>1577</v>
      </c>
      <c r="H155" s="606"/>
      <c r="I155" s="433"/>
      <c r="J155" s="607"/>
      <c r="K155" s="607"/>
      <c r="L155" s="608"/>
      <c r="M155" s="608"/>
      <c r="N155" s="624">
        <f>VLOOKUP(M155,'Salary Schedule'!$B$16:$N$47,L155+1,FALSE)</f>
        <v>0</v>
      </c>
      <c r="O155" s="610"/>
      <c r="P155" s="481">
        <v>0</v>
      </c>
      <c r="Q155" s="609"/>
      <c r="R155" s="479">
        <f t="shared" si="18"/>
        <v>0</v>
      </c>
      <c r="S155" s="479">
        <f t="shared" si="19"/>
        <v>0</v>
      </c>
      <c r="T155" s="479">
        <f t="shared" si="20"/>
        <v>0</v>
      </c>
      <c r="U155" s="479">
        <f t="shared" si="21"/>
        <v>0</v>
      </c>
      <c r="V155" s="479">
        <f t="shared" si="22"/>
        <v>0</v>
      </c>
      <c r="W155" s="479">
        <v>0</v>
      </c>
      <c r="X155" s="479">
        <v>0</v>
      </c>
      <c r="Y155" s="479">
        <v>0</v>
      </c>
      <c r="Z155" s="479">
        <v>0</v>
      </c>
      <c r="AA155" s="471">
        <f t="shared" si="23"/>
        <v>0</v>
      </c>
      <c r="AB155" s="471">
        <f t="shared" si="24"/>
        <v>0</v>
      </c>
    </row>
    <row r="156" spans="1:28" x14ac:dyDescent="0.15">
      <c r="A156" s="433"/>
      <c r="B156" s="606"/>
      <c r="C156" s="606"/>
      <c r="D156" s="606"/>
      <c r="E156" s="433"/>
      <c r="F156" s="606"/>
      <c r="G156" s="484" t="s">
        <v>1577</v>
      </c>
      <c r="H156" s="606"/>
      <c r="I156" s="433"/>
      <c r="J156" s="607"/>
      <c r="K156" s="607"/>
      <c r="L156" s="608"/>
      <c r="M156" s="608"/>
      <c r="N156" s="624">
        <f>VLOOKUP(M156,'Salary Schedule'!$B$16:$N$47,L156+1,FALSE)</f>
        <v>0</v>
      </c>
      <c r="O156" s="610"/>
      <c r="P156" s="481">
        <v>0</v>
      </c>
      <c r="Q156" s="609"/>
      <c r="R156" s="479">
        <f t="shared" si="18"/>
        <v>0</v>
      </c>
      <c r="S156" s="479">
        <f t="shared" si="19"/>
        <v>0</v>
      </c>
      <c r="T156" s="479">
        <f t="shared" si="20"/>
        <v>0</v>
      </c>
      <c r="U156" s="479">
        <f t="shared" si="21"/>
        <v>0</v>
      </c>
      <c r="V156" s="479">
        <f t="shared" si="22"/>
        <v>0</v>
      </c>
      <c r="W156" s="479">
        <v>0</v>
      </c>
      <c r="X156" s="479">
        <v>0</v>
      </c>
      <c r="Y156" s="479">
        <v>0</v>
      </c>
      <c r="Z156" s="479">
        <v>0</v>
      </c>
      <c r="AA156" s="471">
        <f t="shared" si="23"/>
        <v>0</v>
      </c>
      <c r="AB156" s="471">
        <f t="shared" si="24"/>
        <v>0</v>
      </c>
    </row>
    <row r="157" spans="1:28" x14ac:dyDescent="0.15">
      <c r="A157" s="433"/>
      <c r="B157" s="606"/>
      <c r="C157" s="606"/>
      <c r="D157" s="606"/>
      <c r="E157" s="433"/>
      <c r="F157" s="606"/>
      <c r="G157" s="484" t="s">
        <v>1577</v>
      </c>
      <c r="H157" s="606"/>
      <c r="I157" s="433"/>
      <c r="J157" s="607"/>
      <c r="K157" s="607"/>
      <c r="L157" s="608"/>
      <c r="M157" s="608"/>
      <c r="N157" s="624">
        <f>VLOOKUP(M157,'Salary Schedule'!$B$16:$N$47,L157+1,FALSE)</f>
        <v>0</v>
      </c>
      <c r="O157" s="610"/>
      <c r="P157" s="481">
        <v>0</v>
      </c>
      <c r="Q157" s="609"/>
      <c r="R157" s="479">
        <f t="shared" si="18"/>
        <v>0</v>
      </c>
      <c r="S157" s="479">
        <f t="shared" si="19"/>
        <v>0</v>
      </c>
      <c r="T157" s="479">
        <f t="shared" si="20"/>
        <v>0</v>
      </c>
      <c r="U157" s="479">
        <f t="shared" si="21"/>
        <v>0</v>
      </c>
      <c r="V157" s="479">
        <f t="shared" si="22"/>
        <v>0</v>
      </c>
      <c r="W157" s="479">
        <v>0</v>
      </c>
      <c r="X157" s="479">
        <v>0</v>
      </c>
      <c r="Y157" s="479">
        <v>0</v>
      </c>
      <c r="Z157" s="479">
        <v>0</v>
      </c>
      <c r="AA157" s="471">
        <f t="shared" si="23"/>
        <v>0</v>
      </c>
      <c r="AB157" s="471">
        <f t="shared" si="24"/>
        <v>0</v>
      </c>
    </row>
    <row r="158" spans="1:28" x14ac:dyDescent="0.15">
      <c r="A158" s="433"/>
      <c r="B158" s="606"/>
      <c r="C158" s="606"/>
      <c r="D158" s="606"/>
      <c r="E158" s="433"/>
      <c r="F158" s="606"/>
      <c r="G158" s="484" t="s">
        <v>1577</v>
      </c>
      <c r="H158" s="606"/>
      <c r="I158" s="433"/>
      <c r="J158" s="607"/>
      <c r="K158" s="607"/>
      <c r="L158" s="608"/>
      <c r="M158" s="608"/>
      <c r="N158" s="624">
        <f>VLOOKUP(M158,'Salary Schedule'!$B$16:$N$47,L158+1,FALSE)</f>
        <v>0</v>
      </c>
      <c r="O158" s="610"/>
      <c r="P158" s="481">
        <v>0</v>
      </c>
      <c r="Q158" s="609"/>
      <c r="R158" s="479">
        <f t="shared" si="18"/>
        <v>0</v>
      </c>
      <c r="S158" s="479">
        <f t="shared" si="19"/>
        <v>0</v>
      </c>
      <c r="T158" s="479">
        <f t="shared" si="20"/>
        <v>0</v>
      </c>
      <c r="U158" s="479">
        <f t="shared" si="21"/>
        <v>0</v>
      </c>
      <c r="V158" s="479">
        <f t="shared" si="22"/>
        <v>0</v>
      </c>
      <c r="W158" s="479">
        <v>0</v>
      </c>
      <c r="X158" s="479">
        <v>0</v>
      </c>
      <c r="Y158" s="479">
        <v>0</v>
      </c>
      <c r="Z158" s="479">
        <v>0</v>
      </c>
      <c r="AA158" s="471">
        <f t="shared" si="23"/>
        <v>0</v>
      </c>
      <c r="AB158" s="471">
        <f t="shared" si="24"/>
        <v>0</v>
      </c>
    </row>
    <row r="159" spans="1:28" x14ac:dyDescent="0.15">
      <c r="A159" s="433"/>
      <c r="B159" s="606"/>
      <c r="C159" s="606"/>
      <c r="D159" s="606"/>
      <c r="E159" s="433"/>
      <c r="F159" s="606"/>
      <c r="G159" s="484" t="s">
        <v>1577</v>
      </c>
      <c r="H159" s="606"/>
      <c r="I159" s="433"/>
      <c r="J159" s="607"/>
      <c r="K159" s="607"/>
      <c r="L159" s="608"/>
      <c r="M159" s="608"/>
      <c r="N159" s="624">
        <f>VLOOKUP(M159,'Salary Schedule'!$B$16:$N$47,L159+1,FALSE)</f>
        <v>0</v>
      </c>
      <c r="O159" s="610"/>
      <c r="P159" s="481">
        <v>0</v>
      </c>
      <c r="Q159" s="609"/>
      <c r="R159" s="479">
        <f t="shared" si="18"/>
        <v>0</v>
      </c>
      <c r="S159" s="479">
        <f t="shared" si="19"/>
        <v>0</v>
      </c>
      <c r="T159" s="479">
        <f t="shared" si="20"/>
        <v>0</v>
      </c>
      <c r="U159" s="479">
        <f t="shared" si="21"/>
        <v>0</v>
      </c>
      <c r="V159" s="479">
        <f t="shared" si="22"/>
        <v>0</v>
      </c>
      <c r="W159" s="479">
        <v>0</v>
      </c>
      <c r="X159" s="479">
        <v>0</v>
      </c>
      <c r="Y159" s="479">
        <v>0</v>
      </c>
      <c r="Z159" s="479">
        <v>0</v>
      </c>
      <c r="AA159" s="471">
        <f t="shared" si="23"/>
        <v>0</v>
      </c>
      <c r="AB159" s="471">
        <f t="shared" si="24"/>
        <v>0</v>
      </c>
    </row>
    <row r="160" spans="1:28" x14ac:dyDescent="0.15">
      <c r="A160" s="433"/>
      <c r="B160" s="606"/>
      <c r="C160" s="606"/>
      <c r="D160" s="606"/>
      <c r="E160" s="433"/>
      <c r="F160" s="606"/>
      <c r="G160" s="484" t="s">
        <v>1577</v>
      </c>
      <c r="H160" s="606"/>
      <c r="I160" s="433"/>
      <c r="J160" s="607"/>
      <c r="K160" s="607"/>
      <c r="L160" s="608"/>
      <c r="M160" s="608"/>
      <c r="N160" s="624">
        <f>VLOOKUP(M160,'Salary Schedule'!$B$16:$N$47,L160+1,FALSE)</f>
        <v>0</v>
      </c>
      <c r="O160" s="610"/>
      <c r="P160" s="481">
        <v>0</v>
      </c>
      <c r="Q160" s="609"/>
      <c r="R160" s="479">
        <f t="shared" si="18"/>
        <v>0</v>
      </c>
      <c r="S160" s="479">
        <f t="shared" si="19"/>
        <v>0</v>
      </c>
      <c r="T160" s="479">
        <f t="shared" si="20"/>
        <v>0</v>
      </c>
      <c r="U160" s="479">
        <f t="shared" si="21"/>
        <v>0</v>
      </c>
      <c r="V160" s="479">
        <f t="shared" si="22"/>
        <v>0</v>
      </c>
      <c r="W160" s="479">
        <v>0</v>
      </c>
      <c r="X160" s="479">
        <v>0</v>
      </c>
      <c r="Y160" s="479">
        <v>0</v>
      </c>
      <c r="Z160" s="479">
        <v>0</v>
      </c>
      <c r="AA160" s="471">
        <f t="shared" si="23"/>
        <v>0</v>
      </c>
      <c r="AB160" s="471">
        <f t="shared" si="24"/>
        <v>0</v>
      </c>
    </row>
    <row r="161" spans="1:28" x14ac:dyDescent="0.15">
      <c r="A161" s="433"/>
      <c r="B161" s="606"/>
      <c r="C161" s="606"/>
      <c r="D161" s="606"/>
      <c r="E161" s="433"/>
      <c r="F161" s="606"/>
      <c r="G161" s="484" t="s">
        <v>1577</v>
      </c>
      <c r="H161" s="606"/>
      <c r="I161" s="433"/>
      <c r="J161" s="607"/>
      <c r="K161" s="607"/>
      <c r="L161" s="608"/>
      <c r="M161" s="608"/>
      <c r="N161" s="624">
        <f>VLOOKUP(M161,'Salary Schedule'!$B$16:$N$47,L161+1,FALSE)</f>
        <v>0</v>
      </c>
      <c r="O161" s="610"/>
      <c r="P161" s="481">
        <v>0</v>
      </c>
      <c r="Q161" s="609"/>
      <c r="R161" s="479">
        <f t="shared" si="18"/>
        <v>0</v>
      </c>
      <c r="S161" s="479">
        <f t="shared" si="19"/>
        <v>0</v>
      </c>
      <c r="T161" s="479">
        <f t="shared" si="20"/>
        <v>0</v>
      </c>
      <c r="U161" s="479">
        <f t="shared" si="21"/>
        <v>0</v>
      </c>
      <c r="V161" s="479">
        <f t="shared" si="22"/>
        <v>0</v>
      </c>
      <c r="W161" s="479">
        <v>0</v>
      </c>
      <c r="X161" s="479">
        <v>0</v>
      </c>
      <c r="Y161" s="479">
        <v>0</v>
      </c>
      <c r="Z161" s="479">
        <v>0</v>
      </c>
      <c r="AA161" s="471">
        <f t="shared" si="23"/>
        <v>0</v>
      </c>
      <c r="AB161" s="471">
        <f t="shared" si="24"/>
        <v>0</v>
      </c>
    </row>
    <row r="162" spans="1:28" x14ac:dyDescent="0.15">
      <c r="A162" s="433"/>
      <c r="B162" s="606"/>
      <c r="C162" s="606"/>
      <c r="D162" s="606"/>
      <c r="E162" s="433"/>
      <c r="F162" s="606"/>
      <c r="G162" s="484" t="s">
        <v>1577</v>
      </c>
      <c r="H162" s="606"/>
      <c r="I162" s="433"/>
      <c r="J162" s="607"/>
      <c r="K162" s="607"/>
      <c r="L162" s="608"/>
      <c r="M162" s="608"/>
      <c r="N162" s="624">
        <f>VLOOKUP(M162,'Salary Schedule'!$B$16:$N$47,L162+1,FALSE)</f>
        <v>0</v>
      </c>
      <c r="O162" s="610"/>
      <c r="P162" s="481">
        <v>0</v>
      </c>
      <c r="Q162" s="609"/>
      <c r="R162" s="479">
        <f t="shared" si="18"/>
        <v>0</v>
      </c>
      <c r="S162" s="479">
        <f t="shared" si="19"/>
        <v>0</v>
      </c>
      <c r="T162" s="479">
        <f t="shared" si="20"/>
        <v>0</v>
      </c>
      <c r="U162" s="479">
        <f t="shared" si="21"/>
        <v>0</v>
      </c>
      <c r="V162" s="479">
        <f t="shared" si="22"/>
        <v>0</v>
      </c>
      <c r="W162" s="479">
        <v>0</v>
      </c>
      <c r="X162" s="479">
        <v>0</v>
      </c>
      <c r="Y162" s="479">
        <v>0</v>
      </c>
      <c r="Z162" s="479">
        <v>0</v>
      </c>
      <c r="AA162" s="471">
        <f t="shared" si="23"/>
        <v>0</v>
      </c>
      <c r="AB162" s="471">
        <f t="shared" si="24"/>
        <v>0</v>
      </c>
    </row>
    <row r="163" spans="1:28" x14ac:dyDescent="0.15">
      <c r="A163" s="433"/>
      <c r="B163" s="606"/>
      <c r="C163" s="606"/>
      <c r="D163" s="606"/>
      <c r="E163" s="433"/>
      <c r="F163" s="606"/>
      <c r="G163" s="484" t="s">
        <v>1577</v>
      </c>
      <c r="H163" s="606"/>
      <c r="I163" s="433"/>
      <c r="J163" s="607"/>
      <c r="K163" s="607"/>
      <c r="L163" s="608"/>
      <c r="M163" s="608"/>
      <c r="N163" s="624">
        <f>VLOOKUP(M163,'Salary Schedule'!$B$16:$N$47,L163+1,FALSE)</f>
        <v>0</v>
      </c>
      <c r="O163" s="610"/>
      <c r="P163" s="481">
        <v>0</v>
      </c>
      <c r="Q163" s="609"/>
      <c r="R163" s="479">
        <f t="shared" si="18"/>
        <v>0</v>
      </c>
      <c r="S163" s="479">
        <f t="shared" si="19"/>
        <v>0</v>
      </c>
      <c r="T163" s="479">
        <f t="shared" si="20"/>
        <v>0</v>
      </c>
      <c r="U163" s="479">
        <f t="shared" si="21"/>
        <v>0</v>
      </c>
      <c r="V163" s="479">
        <f t="shared" si="22"/>
        <v>0</v>
      </c>
      <c r="W163" s="479">
        <v>0</v>
      </c>
      <c r="X163" s="479">
        <v>0</v>
      </c>
      <c r="Y163" s="479">
        <v>0</v>
      </c>
      <c r="Z163" s="479">
        <v>0</v>
      </c>
      <c r="AA163" s="471">
        <f t="shared" si="23"/>
        <v>0</v>
      </c>
      <c r="AB163" s="471">
        <f t="shared" si="24"/>
        <v>0</v>
      </c>
    </row>
    <row r="164" spans="1:28" x14ac:dyDescent="0.15">
      <c r="A164" s="433"/>
      <c r="B164" s="606"/>
      <c r="C164" s="606"/>
      <c r="D164" s="606"/>
      <c r="E164" s="433"/>
      <c r="F164" s="606"/>
      <c r="G164" s="484" t="s">
        <v>1577</v>
      </c>
      <c r="H164" s="606"/>
      <c r="I164" s="433"/>
      <c r="J164" s="607"/>
      <c r="K164" s="607"/>
      <c r="L164" s="608"/>
      <c r="M164" s="608"/>
      <c r="N164" s="624">
        <f>VLOOKUP(M164,'Salary Schedule'!$B$16:$N$47,L164+1,FALSE)</f>
        <v>0</v>
      </c>
      <c r="O164" s="610"/>
      <c r="P164" s="481">
        <v>0</v>
      </c>
      <c r="Q164" s="609"/>
      <c r="R164" s="479">
        <f t="shared" si="18"/>
        <v>0</v>
      </c>
      <c r="S164" s="479">
        <f t="shared" si="19"/>
        <v>0</v>
      </c>
      <c r="T164" s="479">
        <f t="shared" si="20"/>
        <v>0</v>
      </c>
      <c r="U164" s="479">
        <f t="shared" si="21"/>
        <v>0</v>
      </c>
      <c r="V164" s="479">
        <f t="shared" si="22"/>
        <v>0</v>
      </c>
      <c r="W164" s="479">
        <v>0</v>
      </c>
      <c r="X164" s="479">
        <v>0</v>
      </c>
      <c r="Y164" s="479">
        <v>0</v>
      </c>
      <c r="Z164" s="479">
        <v>0</v>
      </c>
      <c r="AA164" s="471">
        <f t="shared" si="23"/>
        <v>0</v>
      </c>
      <c r="AB164" s="471">
        <f t="shared" si="24"/>
        <v>0</v>
      </c>
    </row>
    <row r="165" spans="1:28" x14ac:dyDescent="0.15">
      <c r="A165" s="433"/>
      <c r="B165" s="606"/>
      <c r="C165" s="606"/>
      <c r="D165" s="606"/>
      <c r="E165" s="433"/>
      <c r="F165" s="606"/>
      <c r="G165" s="484" t="s">
        <v>1577</v>
      </c>
      <c r="H165" s="606"/>
      <c r="I165" s="433"/>
      <c r="J165" s="607"/>
      <c r="K165" s="607"/>
      <c r="L165" s="608"/>
      <c r="M165" s="608"/>
      <c r="N165" s="624">
        <f>VLOOKUP(M165,'Salary Schedule'!$B$16:$N$47,L165+1,FALSE)</f>
        <v>0</v>
      </c>
      <c r="O165" s="610"/>
      <c r="P165" s="481">
        <v>0</v>
      </c>
      <c r="Q165" s="609"/>
      <c r="R165" s="479">
        <f t="shared" si="18"/>
        <v>0</v>
      </c>
      <c r="S165" s="479">
        <f t="shared" si="19"/>
        <v>0</v>
      </c>
      <c r="T165" s="479">
        <f t="shared" si="20"/>
        <v>0</v>
      </c>
      <c r="U165" s="479">
        <f t="shared" si="21"/>
        <v>0</v>
      </c>
      <c r="V165" s="479">
        <f t="shared" si="22"/>
        <v>0</v>
      </c>
      <c r="W165" s="479">
        <v>0</v>
      </c>
      <c r="X165" s="479">
        <v>0</v>
      </c>
      <c r="Y165" s="479">
        <v>0</v>
      </c>
      <c r="Z165" s="479">
        <v>0</v>
      </c>
      <c r="AA165" s="471">
        <f t="shared" si="23"/>
        <v>0</v>
      </c>
      <c r="AB165" s="471">
        <f t="shared" si="24"/>
        <v>0</v>
      </c>
    </row>
    <row r="166" spans="1:28" x14ac:dyDescent="0.15">
      <c r="A166" s="433"/>
      <c r="B166" s="606"/>
      <c r="C166" s="606"/>
      <c r="D166" s="606"/>
      <c r="E166" s="433"/>
      <c r="F166" s="606"/>
      <c r="G166" s="484" t="s">
        <v>1577</v>
      </c>
      <c r="H166" s="606"/>
      <c r="I166" s="433"/>
      <c r="J166" s="607"/>
      <c r="K166" s="607"/>
      <c r="L166" s="608"/>
      <c r="M166" s="608"/>
      <c r="N166" s="624">
        <f>VLOOKUP(M166,'Salary Schedule'!$B$16:$N$47,L166+1,FALSE)</f>
        <v>0</v>
      </c>
      <c r="O166" s="610"/>
      <c r="P166" s="481">
        <v>0</v>
      </c>
      <c r="Q166" s="609"/>
      <c r="R166" s="479">
        <f t="shared" si="18"/>
        <v>0</v>
      </c>
      <c r="S166" s="479">
        <f t="shared" si="19"/>
        <v>0</v>
      </c>
      <c r="T166" s="479">
        <f t="shared" si="20"/>
        <v>0</v>
      </c>
      <c r="U166" s="479">
        <f t="shared" si="21"/>
        <v>0</v>
      </c>
      <c r="V166" s="479">
        <f t="shared" si="22"/>
        <v>0</v>
      </c>
      <c r="W166" s="479">
        <v>0</v>
      </c>
      <c r="X166" s="479">
        <v>0</v>
      </c>
      <c r="Y166" s="479">
        <v>0</v>
      </c>
      <c r="Z166" s="479">
        <v>0</v>
      </c>
      <c r="AA166" s="471">
        <f t="shared" si="23"/>
        <v>0</v>
      </c>
      <c r="AB166" s="471">
        <f t="shared" si="24"/>
        <v>0</v>
      </c>
    </row>
    <row r="167" spans="1:28" x14ac:dyDescent="0.15">
      <c r="A167" s="433"/>
      <c r="B167" s="606"/>
      <c r="C167" s="606"/>
      <c r="D167" s="606"/>
      <c r="E167" s="433"/>
      <c r="F167" s="606"/>
      <c r="G167" s="484" t="s">
        <v>1577</v>
      </c>
      <c r="H167" s="606"/>
      <c r="I167" s="433"/>
      <c r="J167" s="607"/>
      <c r="K167" s="607"/>
      <c r="L167" s="608"/>
      <c r="M167" s="608"/>
      <c r="N167" s="624">
        <f>VLOOKUP(M167,'Salary Schedule'!$B$16:$N$47,L167+1,FALSE)</f>
        <v>0</v>
      </c>
      <c r="O167" s="610"/>
      <c r="P167" s="481">
        <v>0</v>
      </c>
      <c r="Q167" s="609"/>
      <c r="R167" s="479">
        <f t="shared" si="18"/>
        <v>0</v>
      </c>
      <c r="S167" s="479">
        <f t="shared" si="19"/>
        <v>0</v>
      </c>
      <c r="T167" s="479">
        <f t="shared" si="20"/>
        <v>0</v>
      </c>
      <c r="U167" s="479">
        <f t="shared" si="21"/>
        <v>0</v>
      </c>
      <c r="V167" s="479">
        <f t="shared" si="22"/>
        <v>0</v>
      </c>
      <c r="W167" s="479">
        <v>0</v>
      </c>
      <c r="X167" s="479">
        <v>0</v>
      </c>
      <c r="Y167" s="479">
        <v>0</v>
      </c>
      <c r="Z167" s="479">
        <v>0</v>
      </c>
      <c r="AA167" s="471">
        <f t="shared" si="23"/>
        <v>0</v>
      </c>
      <c r="AB167" s="471">
        <f t="shared" si="24"/>
        <v>0</v>
      </c>
    </row>
    <row r="168" spans="1:28" x14ac:dyDescent="0.15">
      <c r="A168" s="433"/>
      <c r="B168" s="606"/>
      <c r="C168" s="606"/>
      <c r="D168" s="606"/>
      <c r="E168" s="433"/>
      <c r="F168" s="606"/>
      <c r="G168" s="484" t="s">
        <v>1577</v>
      </c>
      <c r="H168" s="606"/>
      <c r="I168" s="433"/>
      <c r="J168" s="607"/>
      <c r="K168" s="607"/>
      <c r="L168" s="608"/>
      <c r="M168" s="608"/>
      <c r="N168" s="624">
        <f>VLOOKUP(M168,'Salary Schedule'!$B$16:$N$47,L168+1,FALSE)</f>
        <v>0</v>
      </c>
      <c r="O168" s="610"/>
      <c r="P168" s="481">
        <v>0</v>
      </c>
      <c r="Q168" s="609"/>
      <c r="R168" s="479">
        <f t="shared" si="18"/>
        <v>0</v>
      </c>
      <c r="S168" s="479">
        <f t="shared" si="19"/>
        <v>0</v>
      </c>
      <c r="T168" s="479">
        <f t="shared" si="20"/>
        <v>0</v>
      </c>
      <c r="U168" s="479">
        <f t="shared" si="21"/>
        <v>0</v>
      </c>
      <c r="V168" s="479">
        <f t="shared" si="22"/>
        <v>0</v>
      </c>
      <c r="W168" s="479">
        <v>0</v>
      </c>
      <c r="X168" s="479">
        <v>0</v>
      </c>
      <c r="Y168" s="479">
        <v>0</v>
      </c>
      <c r="Z168" s="479">
        <v>0</v>
      </c>
      <c r="AA168" s="471">
        <f t="shared" si="23"/>
        <v>0</v>
      </c>
      <c r="AB168" s="471">
        <f t="shared" si="24"/>
        <v>0</v>
      </c>
    </row>
    <row r="169" spans="1:28" x14ac:dyDescent="0.15">
      <c r="A169" s="433"/>
      <c r="B169" s="606"/>
      <c r="C169" s="606"/>
      <c r="D169" s="606"/>
      <c r="E169" s="433"/>
      <c r="F169" s="606"/>
      <c r="G169" s="484" t="s">
        <v>1577</v>
      </c>
      <c r="H169" s="606"/>
      <c r="I169" s="433"/>
      <c r="J169" s="607"/>
      <c r="K169" s="607"/>
      <c r="L169" s="608"/>
      <c r="M169" s="608"/>
      <c r="N169" s="624">
        <f>VLOOKUP(M169,'Salary Schedule'!$B$16:$N$47,L169+1,FALSE)</f>
        <v>0</v>
      </c>
      <c r="O169" s="610"/>
      <c r="P169" s="481">
        <v>0</v>
      </c>
      <c r="Q169" s="609"/>
      <c r="R169" s="479">
        <f t="shared" si="18"/>
        <v>0</v>
      </c>
      <c r="S169" s="479">
        <f t="shared" si="19"/>
        <v>0</v>
      </c>
      <c r="T169" s="479">
        <f t="shared" si="20"/>
        <v>0</v>
      </c>
      <c r="U169" s="479">
        <f t="shared" si="21"/>
        <v>0</v>
      </c>
      <c r="V169" s="479">
        <f t="shared" si="22"/>
        <v>0</v>
      </c>
      <c r="W169" s="479">
        <v>0</v>
      </c>
      <c r="X169" s="479">
        <v>0</v>
      </c>
      <c r="Y169" s="479">
        <v>0</v>
      </c>
      <c r="Z169" s="479">
        <v>0</v>
      </c>
      <c r="AA169" s="471">
        <f t="shared" si="23"/>
        <v>0</v>
      </c>
      <c r="AB169" s="471">
        <f t="shared" si="24"/>
        <v>0</v>
      </c>
    </row>
    <row r="170" spans="1:28" x14ac:dyDescent="0.15">
      <c r="A170" s="433"/>
      <c r="B170" s="606"/>
      <c r="C170" s="606"/>
      <c r="D170" s="606"/>
      <c r="E170" s="433"/>
      <c r="F170" s="606"/>
      <c r="G170" s="484" t="s">
        <v>1577</v>
      </c>
      <c r="H170" s="606"/>
      <c r="I170" s="433"/>
      <c r="J170" s="607"/>
      <c r="K170" s="607"/>
      <c r="L170" s="608"/>
      <c r="M170" s="608"/>
      <c r="N170" s="624">
        <f>VLOOKUP(M170,'Salary Schedule'!$B$16:$N$47,L170+1,FALSE)</f>
        <v>0</v>
      </c>
      <c r="O170" s="610"/>
      <c r="P170" s="481">
        <v>0</v>
      </c>
      <c r="Q170" s="609"/>
      <c r="R170" s="479">
        <f t="shared" si="18"/>
        <v>0</v>
      </c>
      <c r="S170" s="479">
        <f t="shared" si="19"/>
        <v>0</v>
      </c>
      <c r="T170" s="479">
        <f t="shared" si="20"/>
        <v>0</v>
      </c>
      <c r="U170" s="479">
        <f t="shared" si="21"/>
        <v>0</v>
      </c>
      <c r="V170" s="479">
        <f t="shared" si="22"/>
        <v>0</v>
      </c>
      <c r="W170" s="479">
        <v>0</v>
      </c>
      <c r="X170" s="479">
        <v>0</v>
      </c>
      <c r="Y170" s="479">
        <v>0</v>
      </c>
      <c r="Z170" s="479">
        <v>0</v>
      </c>
      <c r="AA170" s="471">
        <f t="shared" si="23"/>
        <v>0</v>
      </c>
      <c r="AB170" s="471">
        <f t="shared" si="24"/>
        <v>0</v>
      </c>
    </row>
    <row r="171" spans="1:28" x14ac:dyDescent="0.15">
      <c r="A171" s="433"/>
      <c r="B171" s="606"/>
      <c r="C171" s="606"/>
      <c r="D171" s="606"/>
      <c r="E171" s="433"/>
      <c r="F171" s="606"/>
      <c r="G171" s="484" t="s">
        <v>1577</v>
      </c>
      <c r="H171" s="606"/>
      <c r="I171" s="433"/>
      <c r="J171" s="607"/>
      <c r="K171" s="607"/>
      <c r="L171" s="608"/>
      <c r="M171" s="608"/>
      <c r="N171" s="624">
        <f>VLOOKUP(M171,'Salary Schedule'!$B$16:$N$47,L171+1,FALSE)</f>
        <v>0</v>
      </c>
      <c r="O171" s="610"/>
      <c r="P171" s="481">
        <v>0</v>
      </c>
      <c r="Q171" s="609"/>
      <c r="R171" s="479">
        <f t="shared" si="18"/>
        <v>0</v>
      </c>
      <c r="S171" s="479">
        <f t="shared" si="19"/>
        <v>0</v>
      </c>
      <c r="T171" s="479">
        <f t="shared" si="20"/>
        <v>0</v>
      </c>
      <c r="U171" s="479">
        <f t="shared" si="21"/>
        <v>0</v>
      </c>
      <c r="V171" s="479">
        <f t="shared" si="22"/>
        <v>0</v>
      </c>
      <c r="W171" s="479">
        <v>0</v>
      </c>
      <c r="X171" s="479">
        <v>0</v>
      </c>
      <c r="Y171" s="479">
        <v>0</v>
      </c>
      <c r="Z171" s="479">
        <v>0</v>
      </c>
      <c r="AA171" s="471">
        <f t="shared" si="23"/>
        <v>0</v>
      </c>
      <c r="AB171" s="471">
        <f t="shared" si="24"/>
        <v>0</v>
      </c>
    </row>
    <row r="172" spans="1:28" x14ac:dyDescent="0.15">
      <c r="A172" s="433"/>
      <c r="B172" s="606"/>
      <c r="C172" s="606"/>
      <c r="D172" s="606"/>
      <c r="E172" s="433"/>
      <c r="F172" s="606"/>
      <c r="G172" s="484" t="s">
        <v>1577</v>
      </c>
      <c r="H172" s="606"/>
      <c r="I172" s="433"/>
      <c r="J172" s="607"/>
      <c r="K172" s="607"/>
      <c r="L172" s="608"/>
      <c r="M172" s="608"/>
      <c r="N172" s="624">
        <f>VLOOKUP(M172,'Salary Schedule'!$B$16:$N$47,L172+1,FALSE)</f>
        <v>0</v>
      </c>
      <c r="O172" s="610"/>
      <c r="P172" s="481">
        <v>0</v>
      </c>
      <c r="Q172" s="609"/>
      <c r="R172" s="479">
        <f t="shared" si="18"/>
        <v>0</v>
      </c>
      <c r="S172" s="479">
        <f t="shared" si="19"/>
        <v>0</v>
      </c>
      <c r="T172" s="479">
        <f t="shared" si="20"/>
        <v>0</v>
      </c>
      <c r="U172" s="479">
        <f t="shared" si="21"/>
        <v>0</v>
      </c>
      <c r="V172" s="479">
        <f t="shared" si="22"/>
        <v>0</v>
      </c>
      <c r="W172" s="479">
        <v>0</v>
      </c>
      <c r="X172" s="479">
        <v>0</v>
      </c>
      <c r="Y172" s="479">
        <v>0</v>
      </c>
      <c r="Z172" s="479">
        <v>0</v>
      </c>
      <c r="AA172" s="471">
        <f t="shared" si="23"/>
        <v>0</v>
      </c>
      <c r="AB172" s="471">
        <f t="shared" si="24"/>
        <v>0</v>
      </c>
    </row>
    <row r="173" spans="1:28" x14ac:dyDescent="0.15">
      <c r="A173" s="433"/>
      <c r="B173" s="606"/>
      <c r="C173" s="606"/>
      <c r="D173" s="606"/>
      <c r="E173" s="433"/>
      <c r="F173" s="606"/>
      <c r="G173" s="484" t="s">
        <v>1577</v>
      </c>
      <c r="H173" s="606"/>
      <c r="I173" s="433"/>
      <c r="J173" s="607"/>
      <c r="K173" s="607"/>
      <c r="L173" s="608"/>
      <c r="M173" s="608"/>
      <c r="N173" s="624">
        <f>VLOOKUP(M173,'Salary Schedule'!$B$16:$N$47,L173+1,FALSE)</f>
        <v>0</v>
      </c>
      <c r="O173" s="610"/>
      <c r="P173" s="481">
        <v>0</v>
      </c>
      <c r="Q173" s="609"/>
      <c r="R173" s="479">
        <f t="shared" si="18"/>
        <v>0</v>
      </c>
      <c r="S173" s="479">
        <f t="shared" si="19"/>
        <v>0</v>
      </c>
      <c r="T173" s="479">
        <f t="shared" si="20"/>
        <v>0</v>
      </c>
      <c r="U173" s="479">
        <f t="shared" si="21"/>
        <v>0</v>
      </c>
      <c r="V173" s="479">
        <f t="shared" si="22"/>
        <v>0</v>
      </c>
      <c r="W173" s="479">
        <v>0</v>
      </c>
      <c r="X173" s="479">
        <v>0</v>
      </c>
      <c r="Y173" s="479">
        <v>0</v>
      </c>
      <c r="Z173" s="479">
        <v>0</v>
      </c>
      <c r="AA173" s="471">
        <f t="shared" si="23"/>
        <v>0</v>
      </c>
      <c r="AB173" s="471">
        <f t="shared" si="24"/>
        <v>0</v>
      </c>
    </row>
    <row r="174" spans="1:28" x14ac:dyDescent="0.15">
      <c r="A174" s="433"/>
      <c r="B174" s="606"/>
      <c r="C174" s="606"/>
      <c r="D174" s="606"/>
      <c r="E174" s="433"/>
      <c r="F174" s="606"/>
      <c r="G174" s="484" t="s">
        <v>1577</v>
      </c>
      <c r="H174" s="606"/>
      <c r="I174" s="433"/>
      <c r="J174" s="607"/>
      <c r="K174" s="607"/>
      <c r="L174" s="608"/>
      <c r="M174" s="608"/>
      <c r="N174" s="624">
        <f>VLOOKUP(M174,'Salary Schedule'!$B$16:$N$47,L174+1,FALSE)</f>
        <v>0</v>
      </c>
      <c r="O174" s="610"/>
      <c r="P174" s="481">
        <v>0</v>
      </c>
      <c r="Q174" s="609"/>
      <c r="R174" s="479">
        <f t="shared" si="18"/>
        <v>0</v>
      </c>
      <c r="S174" s="479">
        <f t="shared" si="19"/>
        <v>0</v>
      </c>
      <c r="T174" s="479">
        <f t="shared" si="20"/>
        <v>0</v>
      </c>
      <c r="U174" s="479">
        <f t="shared" si="21"/>
        <v>0</v>
      </c>
      <c r="V174" s="479">
        <f t="shared" si="22"/>
        <v>0</v>
      </c>
      <c r="W174" s="479">
        <v>0</v>
      </c>
      <c r="X174" s="479">
        <v>0</v>
      </c>
      <c r="Y174" s="479">
        <v>0</v>
      </c>
      <c r="Z174" s="479">
        <v>0</v>
      </c>
      <c r="AA174" s="471">
        <f t="shared" si="23"/>
        <v>0</v>
      </c>
      <c r="AB174" s="471">
        <f t="shared" si="24"/>
        <v>0</v>
      </c>
    </row>
    <row r="175" spans="1:28" x14ac:dyDescent="0.15">
      <c r="A175" s="433"/>
      <c r="B175" s="606"/>
      <c r="C175" s="606"/>
      <c r="D175" s="606"/>
      <c r="E175" s="433"/>
      <c r="F175" s="606"/>
      <c r="G175" s="484" t="s">
        <v>1577</v>
      </c>
      <c r="H175" s="606"/>
      <c r="I175" s="433"/>
      <c r="J175" s="607"/>
      <c r="K175" s="607"/>
      <c r="L175" s="608"/>
      <c r="M175" s="608"/>
      <c r="N175" s="624">
        <f>VLOOKUP(M175,'Salary Schedule'!$B$16:$N$47,L175+1,FALSE)</f>
        <v>0</v>
      </c>
      <c r="O175" s="610"/>
      <c r="P175" s="481">
        <v>0</v>
      </c>
      <c r="Q175" s="609"/>
      <c r="R175" s="479">
        <f t="shared" si="18"/>
        <v>0</v>
      </c>
      <c r="S175" s="479">
        <f t="shared" si="19"/>
        <v>0</v>
      </c>
      <c r="T175" s="479">
        <f t="shared" si="20"/>
        <v>0</v>
      </c>
      <c r="U175" s="479">
        <f t="shared" si="21"/>
        <v>0</v>
      </c>
      <c r="V175" s="479">
        <f t="shared" si="22"/>
        <v>0</v>
      </c>
      <c r="W175" s="479">
        <v>0</v>
      </c>
      <c r="X175" s="479">
        <v>0</v>
      </c>
      <c r="Y175" s="479">
        <v>0</v>
      </c>
      <c r="Z175" s="479">
        <v>0</v>
      </c>
      <c r="AA175" s="471">
        <f t="shared" si="23"/>
        <v>0</v>
      </c>
      <c r="AB175" s="471">
        <f t="shared" si="24"/>
        <v>0</v>
      </c>
    </row>
    <row r="176" spans="1:28" x14ac:dyDescent="0.15">
      <c r="A176" s="433"/>
      <c r="B176" s="606"/>
      <c r="C176" s="606"/>
      <c r="D176" s="606"/>
      <c r="E176" s="433"/>
      <c r="F176" s="606"/>
      <c r="G176" s="484" t="s">
        <v>1577</v>
      </c>
      <c r="H176" s="606"/>
      <c r="I176" s="433"/>
      <c r="J176" s="607"/>
      <c r="K176" s="607"/>
      <c r="L176" s="608"/>
      <c r="M176" s="608"/>
      <c r="N176" s="624">
        <f>VLOOKUP(M176,'Salary Schedule'!$B$16:$N$47,L176+1,FALSE)</f>
        <v>0</v>
      </c>
      <c r="O176" s="610"/>
      <c r="P176" s="481">
        <v>0</v>
      </c>
      <c r="Q176" s="609"/>
      <c r="R176" s="479">
        <f t="shared" si="18"/>
        <v>0</v>
      </c>
      <c r="S176" s="479">
        <f t="shared" si="19"/>
        <v>0</v>
      </c>
      <c r="T176" s="479">
        <f t="shared" si="20"/>
        <v>0</v>
      </c>
      <c r="U176" s="479">
        <f t="shared" si="21"/>
        <v>0</v>
      </c>
      <c r="V176" s="479">
        <f t="shared" si="22"/>
        <v>0</v>
      </c>
      <c r="W176" s="479">
        <v>0</v>
      </c>
      <c r="X176" s="479">
        <v>0</v>
      </c>
      <c r="Y176" s="479">
        <v>0</v>
      </c>
      <c r="Z176" s="479">
        <v>0</v>
      </c>
      <c r="AA176" s="471">
        <f t="shared" si="23"/>
        <v>0</v>
      </c>
      <c r="AB176" s="471">
        <f t="shared" si="24"/>
        <v>0</v>
      </c>
    </row>
    <row r="177" spans="1:28" x14ac:dyDescent="0.15">
      <c r="A177" s="433"/>
      <c r="B177" s="606"/>
      <c r="C177" s="606"/>
      <c r="D177" s="606"/>
      <c r="E177" s="433"/>
      <c r="F177" s="606"/>
      <c r="G177" s="484" t="s">
        <v>1577</v>
      </c>
      <c r="H177" s="606"/>
      <c r="I177" s="433"/>
      <c r="J177" s="607"/>
      <c r="K177" s="607"/>
      <c r="L177" s="608"/>
      <c r="M177" s="608"/>
      <c r="N177" s="624">
        <f>VLOOKUP(M177,'Salary Schedule'!$B$16:$N$47,L177+1,FALSE)</f>
        <v>0</v>
      </c>
      <c r="O177" s="610"/>
      <c r="P177" s="481">
        <v>0</v>
      </c>
      <c r="Q177" s="609"/>
      <c r="R177" s="479">
        <f t="shared" si="18"/>
        <v>0</v>
      </c>
      <c r="S177" s="479">
        <f t="shared" si="19"/>
        <v>0</v>
      </c>
      <c r="T177" s="479">
        <f t="shared" si="20"/>
        <v>0</v>
      </c>
      <c r="U177" s="479">
        <f t="shared" si="21"/>
        <v>0</v>
      </c>
      <c r="V177" s="479">
        <f t="shared" si="22"/>
        <v>0</v>
      </c>
      <c r="W177" s="479">
        <v>0</v>
      </c>
      <c r="X177" s="479">
        <v>0</v>
      </c>
      <c r="Y177" s="479">
        <v>0</v>
      </c>
      <c r="Z177" s="479">
        <v>0</v>
      </c>
      <c r="AA177" s="471">
        <f t="shared" si="23"/>
        <v>0</v>
      </c>
      <c r="AB177" s="471">
        <f t="shared" si="24"/>
        <v>0</v>
      </c>
    </row>
    <row r="178" spans="1:28" x14ac:dyDescent="0.15">
      <c r="A178" s="433"/>
      <c r="B178" s="606"/>
      <c r="C178" s="606"/>
      <c r="D178" s="606"/>
      <c r="E178" s="433"/>
      <c r="F178" s="606"/>
      <c r="G178" s="484" t="s">
        <v>1577</v>
      </c>
      <c r="H178" s="606"/>
      <c r="I178" s="433"/>
      <c r="J178" s="607"/>
      <c r="K178" s="607"/>
      <c r="L178" s="608"/>
      <c r="M178" s="608"/>
      <c r="N178" s="624">
        <f>VLOOKUP(M178,'Salary Schedule'!$B$16:$N$47,L178+1,FALSE)</f>
        <v>0</v>
      </c>
      <c r="O178" s="610"/>
      <c r="P178" s="481">
        <v>0</v>
      </c>
      <c r="Q178" s="609"/>
      <c r="R178" s="479">
        <f t="shared" si="18"/>
        <v>0</v>
      </c>
      <c r="S178" s="479">
        <f t="shared" si="19"/>
        <v>0</v>
      </c>
      <c r="T178" s="479">
        <f t="shared" si="20"/>
        <v>0</v>
      </c>
      <c r="U178" s="479">
        <f t="shared" si="21"/>
        <v>0</v>
      </c>
      <c r="V178" s="479">
        <f t="shared" si="22"/>
        <v>0</v>
      </c>
      <c r="W178" s="479">
        <v>0</v>
      </c>
      <c r="X178" s="479">
        <v>0</v>
      </c>
      <c r="Y178" s="479">
        <v>0</v>
      </c>
      <c r="Z178" s="479">
        <v>0</v>
      </c>
      <c r="AA178" s="471">
        <f t="shared" si="23"/>
        <v>0</v>
      </c>
      <c r="AB178" s="471">
        <f t="shared" si="24"/>
        <v>0</v>
      </c>
    </row>
    <row r="179" spans="1:28" x14ac:dyDescent="0.15">
      <c r="A179" s="433"/>
      <c r="B179" s="606"/>
      <c r="C179" s="606"/>
      <c r="D179" s="606"/>
      <c r="E179" s="433"/>
      <c r="F179" s="606"/>
      <c r="G179" s="484" t="s">
        <v>1577</v>
      </c>
      <c r="H179" s="606"/>
      <c r="I179" s="433"/>
      <c r="J179" s="607"/>
      <c r="K179" s="607"/>
      <c r="L179" s="608"/>
      <c r="M179" s="608"/>
      <c r="N179" s="624">
        <f>VLOOKUP(M179,'Salary Schedule'!$B$16:$N$47,L179+1,FALSE)</f>
        <v>0</v>
      </c>
      <c r="O179" s="610"/>
      <c r="P179" s="481">
        <v>0</v>
      </c>
      <c r="Q179" s="609"/>
      <c r="R179" s="479">
        <f t="shared" si="18"/>
        <v>0</v>
      </c>
      <c r="S179" s="479">
        <f t="shared" si="19"/>
        <v>0</v>
      </c>
      <c r="T179" s="479">
        <f t="shared" si="20"/>
        <v>0</v>
      </c>
      <c r="U179" s="479">
        <f t="shared" si="21"/>
        <v>0</v>
      </c>
      <c r="V179" s="479">
        <f t="shared" si="22"/>
        <v>0</v>
      </c>
      <c r="W179" s="479">
        <v>0</v>
      </c>
      <c r="X179" s="479">
        <v>0</v>
      </c>
      <c r="Y179" s="479">
        <v>0</v>
      </c>
      <c r="Z179" s="479">
        <v>0</v>
      </c>
      <c r="AA179" s="471">
        <f t="shared" si="23"/>
        <v>0</v>
      </c>
      <c r="AB179" s="471">
        <f t="shared" si="24"/>
        <v>0</v>
      </c>
    </row>
    <row r="180" spans="1:28" x14ac:dyDescent="0.15">
      <c r="A180" s="433"/>
      <c r="B180" s="606"/>
      <c r="C180" s="606"/>
      <c r="D180" s="606"/>
      <c r="E180" s="433"/>
      <c r="F180" s="606"/>
      <c r="G180" s="484" t="s">
        <v>1577</v>
      </c>
      <c r="H180" s="606"/>
      <c r="I180" s="433"/>
      <c r="J180" s="607"/>
      <c r="K180" s="607"/>
      <c r="L180" s="608"/>
      <c r="M180" s="608"/>
      <c r="N180" s="624">
        <f>VLOOKUP(M180,'Salary Schedule'!$B$16:$N$47,L180+1,FALSE)</f>
        <v>0</v>
      </c>
      <c r="O180" s="610"/>
      <c r="P180" s="481">
        <v>0</v>
      </c>
      <c r="Q180" s="609"/>
      <c r="R180" s="479">
        <f t="shared" si="18"/>
        <v>0</v>
      </c>
      <c r="S180" s="479">
        <f t="shared" si="19"/>
        <v>0</v>
      </c>
      <c r="T180" s="479">
        <f t="shared" si="20"/>
        <v>0</v>
      </c>
      <c r="U180" s="479">
        <f t="shared" si="21"/>
        <v>0</v>
      </c>
      <c r="V180" s="479">
        <f t="shared" si="22"/>
        <v>0</v>
      </c>
      <c r="W180" s="479">
        <v>0</v>
      </c>
      <c r="X180" s="479">
        <v>0</v>
      </c>
      <c r="Y180" s="479">
        <v>0</v>
      </c>
      <c r="Z180" s="479">
        <v>0</v>
      </c>
      <c r="AA180" s="471">
        <f t="shared" si="23"/>
        <v>0</v>
      </c>
      <c r="AB180" s="471">
        <f t="shared" si="24"/>
        <v>0</v>
      </c>
    </row>
    <row r="181" spans="1:28" x14ac:dyDescent="0.15">
      <c r="A181" s="433"/>
      <c r="B181" s="606"/>
      <c r="C181" s="606"/>
      <c r="D181" s="606"/>
      <c r="E181" s="433"/>
      <c r="F181" s="606"/>
      <c r="G181" s="484" t="s">
        <v>1577</v>
      </c>
      <c r="H181" s="606"/>
      <c r="I181" s="433"/>
      <c r="J181" s="607"/>
      <c r="K181" s="607"/>
      <c r="L181" s="608"/>
      <c r="M181" s="608"/>
      <c r="N181" s="624">
        <f>VLOOKUP(M181,'Salary Schedule'!$B$16:$N$47,L181+1,FALSE)</f>
        <v>0</v>
      </c>
      <c r="O181" s="610"/>
      <c r="P181" s="481">
        <v>0</v>
      </c>
      <c r="Q181" s="609"/>
      <c r="R181" s="479">
        <f t="shared" si="18"/>
        <v>0</v>
      </c>
      <c r="S181" s="479">
        <f t="shared" si="19"/>
        <v>0</v>
      </c>
      <c r="T181" s="479">
        <f t="shared" si="20"/>
        <v>0</v>
      </c>
      <c r="U181" s="479">
        <f t="shared" si="21"/>
        <v>0</v>
      </c>
      <c r="V181" s="479">
        <f t="shared" si="22"/>
        <v>0</v>
      </c>
      <c r="W181" s="479">
        <v>0</v>
      </c>
      <c r="X181" s="479">
        <v>0</v>
      </c>
      <c r="Y181" s="479">
        <v>0</v>
      </c>
      <c r="Z181" s="479">
        <v>0</v>
      </c>
      <c r="AA181" s="471">
        <f t="shared" si="23"/>
        <v>0</v>
      </c>
      <c r="AB181" s="471">
        <f t="shared" si="24"/>
        <v>0</v>
      </c>
    </row>
    <row r="182" spans="1:28" x14ac:dyDescent="0.15">
      <c r="A182" s="433"/>
      <c r="B182" s="606"/>
      <c r="C182" s="606"/>
      <c r="D182" s="606"/>
      <c r="E182" s="433"/>
      <c r="F182" s="606"/>
      <c r="G182" s="484" t="s">
        <v>1577</v>
      </c>
      <c r="H182" s="606"/>
      <c r="I182" s="433"/>
      <c r="J182" s="607"/>
      <c r="K182" s="607"/>
      <c r="L182" s="608"/>
      <c r="M182" s="608"/>
      <c r="N182" s="624">
        <f>VLOOKUP(M182,'Salary Schedule'!$B$16:$N$47,L182+1,FALSE)</f>
        <v>0</v>
      </c>
      <c r="O182" s="610"/>
      <c r="P182" s="481">
        <v>0</v>
      </c>
      <c r="Q182" s="609"/>
      <c r="R182" s="479">
        <f t="shared" si="18"/>
        <v>0</v>
      </c>
      <c r="S182" s="479">
        <f t="shared" si="19"/>
        <v>0</v>
      </c>
      <c r="T182" s="479">
        <f t="shared" si="20"/>
        <v>0</v>
      </c>
      <c r="U182" s="479">
        <f t="shared" si="21"/>
        <v>0</v>
      </c>
      <c r="V182" s="479">
        <f t="shared" si="22"/>
        <v>0</v>
      </c>
      <c r="W182" s="479">
        <v>0</v>
      </c>
      <c r="X182" s="479">
        <v>0</v>
      </c>
      <c r="Y182" s="479">
        <v>0</v>
      </c>
      <c r="Z182" s="479">
        <v>0</v>
      </c>
      <c r="AA182" s="471">
        <f t="shared" si="23"/>
        <v>0</v>
      </c>
      <c r="AB182" s="471">
        <f t="shared" si="24"/>
        <v>0</v>
      </c>
    </row>
    <row r="183" spans="1:28" x14ac:dyDescent="0.15">
      <c r="A183" s="433"/>
      <c r="B183" s="606"/>
      <c r="C183" s="606"/>
      <c r="D183" s="606"/>
      <c r="E183" s="433"/>
      <c r="F183" s="606"/>
      <c r="G183" s="484" t="s">
        <v>1577</v>
      </c>
      <c r="H183" s="606"/>
      <c r="I183" s="433"/>
      <c r="J183" s="607"/>
      <c r="K183" s="607"/>
      <c r="L183" s="608"/>
      <c r="M183" s="608"/>
      <c r="N183" s="624">
        <f>VLOOKUP(M183,'Salary Schedule'!$B$16:$N$47,L183+1,FALSE)</f>
        <v>0</v>
      </c>
      <c r="O183" s="610"/>
      <c r="P183" s="481">
        <v>0</v>
      </c>
      <c r="Q183" s="609"/>
      <c r="R183" s="479">
        <f t="shared" si="18"/>
        <v>0</v>
      </c>
      <c r="S183" s="479">
        <f t="shared" si="19"/>
        <v>0</v>
      </c>
      <c r="T183" s="479">
        <f t="shared" si="20"/>
        <v>0</v>
      </c>
      <c r="U183" s="479">
        <f t="shared" si="21"/>
        <v>0</v>
      </c>
      <c r="V183" s="479">
        <f t="shared" si="22"/>
        <v>0</v>
      </c>
      <c r="W183" s="479">
        <v>0</v>
      </c>
      <c r="X183" s="479">
        <v>0</v>
      </c>
      <c r="Y183" s="479">
        <v>0</v>
      </c>
      <c r="Z183" s="479">
        <v>0</v>
      </c>
      <c r="AA183" s="471">
        <f t="shared" si="23"/>
        <v>0</v>
      </c>
      <c r="AB183" s="471">
        <f t="shared" si="24"/>
        <v>0</v>
      </c>
    </row>
    <row r="184" spans="1:28" x14ac:dyDescent="0.15">
      <c r="A184" s="433"/>
      <c r="B184" s="606"/>
      <c r="C184" s="606"/>
      <c r="D184" s="606"/>
      <c r="E184" s="433"/>
      <c r="F184" s="606"/>
      <c r="G184" s="484" t="s">
        <v>1577</v>
      </c>
      <c r="H184" s="606"/>
      <c r="I184" s="433"/>
      <c r="J184" s="607"/>
      <c r="K184" s="607"/>
      <c r="L184" s="608"/>
      <c r="M184" s="608"/>
      <c r="N184" s="624">
        <f>VLOOKUP(M184,'Salary Schedule'!$B$16:$N$47,L184+1,FALSE)</f>
        <v>0</v>
      </c>
      <c r="O184" s="610"/>
      <c r="P184" s="481">
        <v>0</v>
      </c>
      <c r="Q184" s="609"/>
      <c r="R184" s="479">
        <f t="shared" si="18"/>
        <v>0</v>
      </c>
      <c r="S184" s="479">
        <f t="shared" si="19"/>
        <v>0</v>
      </c>
      <c r="T184" s="479">
        <f t="shared" si="20"/>
        <v>0</v>
      </c>
      <c r="U184" s="479">
        <f t="shared" si="21"/>
        <v>0</v>
      </c>
      <c r="V184" s="479">
        <f t="shared" si="22"/>
        <v>0</v>
      </c>
      <c r="W184" s="479">
        <v>0</v>
      </c>
      <c r="X184" s="479">
        <v>0</v>
      </c>
      <c r="Y184" s="479">
        <v>0</v>
      </c>
      <c r="Z184" s="479">
        <v>0</v>
      </c>
      <c r="AA184" s="471">
        <f t="shared" si="23"/>
        <v>0</v>
      </c>
      <c r="AB184" s="471">
        <f t="shared" si="24"/>
        <v>0</v>
      </c>
    </row>
    <row r="185" spans="1:28" x14ac:dyDescent="0.15">
      <c r="A185" s="433"/>
      <c r="B185" s="606"/>
      <c r="C185" s="606"/>
      <c r="D185" s="606"/>
      <c r="E185" s="433"/>
      <c r="F185" s="606"/>
      <c r="G185" s="484" t="s">
        <v>1577</v>
      </c>
      <c r="H185" s="606"/>
      <c r="I185" s="433"/>
      <c r="J185" s="607"/>
      <c r="K185" s="607"/>
      <c r="L185" s="608"/>
      <c r="M185" s="608"/>
      <c r="N185" s="624">
        <f>VLOOKUP(M185,'Salary Schedule'!$B$16:$N$47,L185+1,FALSE)</f>
        <v>0</v>
      </c>
      <c r="O185" s="610"/>
      <c r="P185" s="481">
        <v>0</v>
      </c>
      <c r="Q185" s="609"/>
      <c r="R185" s="479">
        <f t="shared" si="18"/>
        <v>0</v>
      </c>
      <c r="S185" s="479">
        <f t="shared" si="19"/>
        <v>0</v>
      </c>
      <c r="T185" s="479">
        <f t="shared" si="20"/>
        <v>0</v>
      </c>
      <c r="U185" s="479">
        <f t="shared" si="21"/>
        <v>0</v>
      </c>
      <c r="V185" s="479">
        <f t="shared" si="22"/>
        <v>0</v>
      </c>
      <c r="W185" s="479">
        <v>0</v>
      </c>
      <c r="X185" s="479">
        <v>0</v>
      </c>
      <c r="Y185" s="479">
        <v>0</v>
      </c>
      <c r="Z185" s="479">
        <v>0</v>
      </c>
      <c r="AA185" s="471">
        <f t="shared" si="23"/>
        <v>0</v>
      </c>
      <c r="AB185" s="471">
        <f t="shared" si="24"/>
        <v>0</v>
      </c>
    </row>
    <row r="186" spans="1:28" x14ac:dyDescent="0.15">
      <c r="A186" s="433"/>
      <c r="B186" s="606"/>
      <c r="C186" s="606"/>
      <c r="D186" s="606"/>
      <c r="E186" s="433"/>
      <c r="F186" s="606"/>
      <c r="G186" s="484" t="s">
        <v>1577</v>
      </c>
      <c r="H186" s="606"/>
      <c r="I186" s="433"/>
      <c r="J186" s="607"/>
      <c r="K186" s="607"/>
      <c r="L186" s="608"/>
      <c r="M186" s="608"/>
      <c r="N186" s="624">
        <f>VLOOKUP(M186,'Salary Schedule'!$B$16:$N$47,L186+1,FALSE)</f>
        <v>0</v>
      </c>
      <c r="O186" s="610"/>
      <c r="P186" s="481">
        <v>0</v>
      </c>
      <c r="Q186" s="609"/>
      <c r="R186" s="479">
        <f t="shared" si="18"/>
        <v>0</v>
      </c>
      <c r="S186" s="479">
        <f t="shared" si="19"/>
        <v>0</v>
      </c>
      <c r="T186" s="479">
        <f t="shared" si="20"/>
        <v>0</v>
      </c>
      <c r="U186" s="479">
        <f t="shared" si="21"/>
        <v>0</v>
      </c>
      <c r="V186" s="479">
        <f t="shared" si="22"/>
        <v>0</v>
      </c>
      <c r="W186" s="479">
        <v>0</v>
      </c>
      <c r="X186" s="479">
        <v>0</v>
      </c>
      <c r="Y186" s="479">
        <v>0</v>
      </c>
      <c r="Z186" s="479">
        <v>0</v>
      </c>
      <c r="AA186" s="471">
        <f t="shared" si="23"/>
        <v>0</v>
      </c>
      <c r="AB186" s="471">
        <f t="shared" si="24"/>
        <v>0</v>
      </c>
    </row>
    <row r="187" spans="1:28" x14ac:dyDescent="0.15">
      <c r="A187" s="433"/>
      <c r="B187" s="606"/>
      <c r="C187" s="606"/>
      <c r="D187" s="606"/>
      <c r="E187" s="433"/>
      <c r="F187" s="606"/>
      <c r="G187" s="484" t="s">
        <v>1577</v>
      </c>
      <c r="H187" s="606"/>
      <c r="I187" s="433"/>
      <c r="J187" s="607"/>
      <c r="K187" s="607"/>
      <c r="L187" s="608"/>
      <c r="M187" s="608"/>
      <c r="N187" s="624">
        <f>VLOOKUP(M187,'Salary Schedule'!$B$16:$N$47,L187+1,FALSE)</f>
        <v>0</v>
      </c>
      <c r="O187" s="610"/>
      <c r="P187" s="481">
        <v>0</v>
      </c>
      <c r="Q187" s="609"/>
      <c r="R187" s="479">
        <f t="shared" si="18"/>
        <v>0</v>
      </c>
      <c r="S187" s="479">
        <f t="shared" si="19"/>
        <v>0</v>
      </c>
      <c r="T187" s="479">
        <f t="shared" si="20"/>
        <v>0</v>
      </c>
      <c r="U187" s="479">
        <f t="shared" si="21"/>
        <v>0</v>
      </c>
      <c r="V187" s="479">
        <f t="shared" si="22"/>
        <v>0</v>
      </c>
      <c r="W187" s="479">
        <v>0</v>
      </c>
      <c r="X187" s="479">
        <v>0</v>
      </c>
      <c r="Y187" s="479">
        <v>0</v>
      </c>
      <c r="Z187" s="479">
        <v>0</v>
      </c>
      <c r="AA187" s="471">
        <f t="shared" si="23"/>
        <v>0</v>
      </c>
      <c r="AB187" s="471">
        <f t="shared" si="24"/>
        <v>0</v>
      </c>
    </row>
    <row r="188" spans="1:28" x14ac:dyDescent="0.15">
      <c r="A188" s="433"/>
      <c r="B188" s="606"/>
      <c r="C188" s="606"/>
      <c r="D188" s="606"/>
      <c r="E188" s="433"/>
      <c r="F188" s="606"/>
      <c r="G188" s="484" t="s">
        <v>1577</v>
      </c>
      <c r="H188" s="606"/>
      <c r="I188" s="433"/>
      <c r="J188" s="607"/>
      <c r="K188" s="607"/>
      <c r="L188" s="608"/>
      <c r="M188" s="608"/>
      <c r="N188" s="624">
        <f>VLOOKUP(M188,'Salary Schedule'!$B$16:$N$47,L188+1,FALSE)</f>
        <v>0</v>
      </c>
      <c r="O188" s="610"/>
      <c r="P188" s="481">
        <v>0</v>
      </c>
      <c r="Q188" s="609"/>
      <c r="R188" s="479">
        <f t="shared" si="18"/>
        <v>0</v>
      </c>
      <c r="S188" s="479">
        <f t="shared" si="19"/>
        <v>0</v>
      </c>
      <c r="T188" s="479">
        <f t="shared" si="20"/>
        <v>0</v>
      </c>
      <c r="U188" s="479">
        <f t="shared" si="21"/>
        <v>0</v>
      </c>
      <c r="V188" s="479">
        <f t="shared" si="22"/>
        <v>0</v>
      </c>
      <c r="W188" s="479">
        <v>0</v>
      </c>
      <c r="X188" s="479">
        <v>0</v>
      </c>
      <c r="Y188" s="479">
        <v>0</v>
      </c>
      <c r="Z188" s="479">
        <v>0</v>
      </c>
      <c r="AA188" s="471">
        <f t="shared" si="23"/>
        <v>0</v>
      </c>
      <c r="AB188" s="471">
        <f t="shared" si="24"/>
        <v>0</v>
      </c>
    </row>
    <row r="189" spans="1:28" x14ac:dyDescent="0.15">
      <c r="A189" s="433"/>
      <c r="B189" s="606"/>
      <c r="C189" s="606"/>
      <c r="D189" s="606"/>
      <c r="E189" s="433"/>
      <c r="F189" s="606"/>
      <c r="G189" s="484" t="s">
        <v>1577</v>
      </c>
      <c r="H189" s="606"/>
      <c r="I189" s="433"/>
      <c r="J189" s="607"/>
      <c r="K189" s="607"/>
      <c r="L189" s="608"/>
      <c r="M189" s="608"/>
      <c r="N189" s="624">
        <f>VLOOKUP(M189,'Salary Schedule'!$B$16:$N$47,L189+1,FALSE)</f>
        <v>0</v>
      </c>
      <c r="O189" s="610"/>
      <c r="P189" s="481">
        <v>0</v>
      </c>
      <c r="Q189" s="609"/>
      <c r="R189" s="479">
        <f t="shared" si="18"/>
        <v>0</v>
      </c>
      <c r="S189" s="479">
        <f t="shared" si="19"/>
        <v>0</v>
      </c>
      <c r="T189" s="479">
        <f t="shared" si="20"/>
        <v>0</v>
      </c>
      <c r="U189" s="479">
        <f t="shared" si="21"/>
        <v>0</v>
      </c>
      <c r="V189" s="479">
        <f t="shared" si="22"/>
        <v>0</v>
      </c>
      <c r="W189" s="479">
        <v>0</v>
      </c>
      <c r="X189" s="479">
        <v>0</v>
      </c>
      <c r="Y189" s="479">
        <v>0</v>
      </c>
      <c r="Z189" s="479">
        <v>0</v>
      </c>
      <c r="AA189" s="471">
        <f t="shared" si="23"/>
        <v>0</v>
      </c>
      <c r="AB189" s="471">
        <f t="shared" si="24"/>
        <v>0</v>
      </c>
    </row>
    <row r="190" spans="1:28" x14ac:dyDescent="0.15">
      <c r="A190" s="433"/>
      <c r="B190" s="606"/>
      <c r="C190" s="606"/>
      <c r="D190" s="606"/>
      <c r="E190" s="433"/>
      <c r="F190" s="606"/>
      <c r="G190" s="484" t="s">
        <v>1577</v>
      </c>
      <c r="H190" s="606"/>
      <c r="I190" s="433"/>
      <c r="J190" s="607"/>
      <c r="K190" s="607"/>
      <c r="L190" s="608"/>
      <c r="M190" s="608"/>
      <c r="N190" s="624">
        <f>VLOOKUP(M190,'Salary Schedule'!$B$16:$N$47,L190+1,FALSE)</f>
        <v>0</v>
      </c>
      <c r="O190" s="610"/>
      <c r="P190" s="481">
        <v>0</v>
      </c>
      <c r="Q190" s="609"/>
      <c r="R190" s="479">
        <f t="shared" si="18"/>
        <v>0</v>
      </c>
      <c r="S190" s="479">
        <f t="shared" si="19"/>
        <v>0</v>
      </c>
      <c r="T190" s="479">
        <f t="shared" si="20"/>
        <v>0</v>
      </c>
      <c r="U190" s="479">
        <f t="shared" si="21"/>
        <v>0</v>
      </c>
      <c r="V190" s="479">
        <f t="shared" si="22"/>
        <v>0</v>
      </c>
      <c r="W190" s="479">
        <v>0</v>
      </c>
      <c r="X190" s="479">
        <v>0</v>
      </c>
      <c r="Y190" s="479">
        <v>0</v>
      </c>
      <c r="Z190" s="479">
        <v>0</v>
      </c>
      <c r="AA190" s="471">
        <f t="shared" si="23"/>
        <v>0</v>
      </c>
      <c r="AB190" s="471">
        <f t="shared" si="24"/>
        <v>0</v>
      </c>
    </row>
    <row r="191" spans="1:28" x14ac:dyDescent="0.15">
      <c r="A191" s="433"/>
      <c r="B191" s="606"/>
      <c r="C191" s="606"/>
      <c r="D191" s="606"/>
      <c r="E191" s="433"/>
      <c r="F191" s="606"/>
      <c r="G191" s="484" t="s">
        <v>1577</v>
      </c>
      <c r="H191" s="606"/>
      <c r="I191" s="433"/>
      <c r="J191" s="607"/>
      <c r="K191" s="607"/>
      <c r="L191" s="608"/>
      <c r="M191" s="608"/>
      <c r="N191" s="624">
        <f>VLOOKUP(M191,'Salary Schedule'!$B$16:$N$47,L191+1,FALSE)</f>
        <v>0</v>
      </c>
      <c r="O191" s="610"/>
      <c r="P191" s="481">
        <v>0</v>
      </c>
      <c r="Q191" s="609"/>
      <c r="R191" s="479">
        <f t="shared" si="18"/>
        <v>0</v>
      </c>
      <c r="S191" s="479">
        <f t="shared" si="19"/>
        <v>0</v>
      </c>
      <c r="T191" s="479">
        <f t="shared" si="20"/>
        <v>0</v>
      </c>
      <c r="U191" s="479">
        <f t="shared" si="21"/>
        <v>0</v>
      </c>
      <c r="V191" s="479">
        <f t="shared" si="22"/>
        <v>0</v>
      </c>
      <c r="W191" s="479">
        <v>0</v>
      </c>
      <c r="X191" s="479">
        <v>0</v>
      </c>
      <c r="Y191" s="479">
        <v>0</v>
      </c>
      <c r="Z191" s="479">
        <v>0</v>
      </c>
      <c r="AA191" s="471">
        <f t="shared" si="23"/>
        <v>0</v>
      </c>
      <c r="AB191" s="471">
        <f t="shared" si="24"/>
        <v>0</v>
      </c>
    </row>
    <row r="192" spans="1:28" x14ac:dyDescent="0.15">
      <c r="A192" s="433"/>
      <c r="B192" s="606"/>
      <c r="C192" s="606"/>
      <c r="D192" s="606"/>
      <c r="E192" s="433"/>
      <c r="F192" s="606"/>
      <c r="G192" s="484" t="s">
        <v>1577</v>
      </c>
      <c r="H192" s="606"/>
      <c r="I192" s="433"/>
      <c r="J192" s="607"/>
      <c r="K192" s="607"/>
      <c r="L192" s="608"/>
      <c r="M192" s="608"/>
      <c r="N192" s="624">
        <f>VLOOKUP(M192,'Salary Schedule'!$B$16:$N$47,L192+1,FALSE)</f>
        <v>0</v>
      </c>
      <c r="O192" s="610"/>
      <c r="P192" s="481">
        <v>0</v>
      </c>
      <c r="Q192" s="609"/>
      <c r="R192" s="479">
        <f t="shared" si="18"/>
        <v>0</v>
      </c>
      <c r="S192" s="479">
        <f t="shared" si="19"/>
        <v>0</v>
      </c>
      <c r="T192" s="479">
        <f t="shared" si="20"/>
        <v>0</v>
      </c>
      <c r="U192" s="479">
        <f t="shared" si="21"/>
        <v>0</v>
      </c>
      <c r="V192" s="479">
        <f t="shared" si="22"/>
        <v>0</v>
      </c>
      <c r="W192" s="479">
        <v>0</v>
      </c>
      <c r="X192" s="479">
        <v>0</v>
      </c>
      <c r="Y192" s="479">
        <v>0</v>
      </c>
      <c r="Z192" s="479">
        <v>0</v>
      </c>
      <c r="AA192" s="471">
        <f t="shared" si="23"/>
        <v>0</v>
      </c>
      <c r="AB192" s="471">
        <f t="shared" si="24"/>
        <v>0</v>
      </c>
    </row>
    <row r="193" spans="1:28" x14ac:dyDescent="0.15">
      <c r="A193" s="433"/>
      <c r="B193" s="606"/>
      <c r="C193" s="606"/>
      <c r="D193" s="606"/>
      <c r="E193" s="433"/>
      <c r="F193" s="606"/>
      <c r="G193" s="484" t="s">
        <v>1577</v>
      </c>
      <c r="H193" s="606"/>
      <c r="I193" s="433"/>
      <c r="J193" s="607"/>
      <c r="K193" s="607"/>
      <c r="L193" s="608"/>
      <c r="M193" s="608"/>
      <c r="N193" s="624">
        <f>VLOOKUP(M193,'Salary Schedule'!$B$16:$N$47,L193+1,FALSE)</f>
        <v>0</v>
      </c>
      <c r="O193" s="610"/>
      <c r="P193" s="481">
        <v>0</v>
      </c>
      <c r="Q193" s="609"/>
      <c r="R193" s="479">
        <f t="shared" si="18"/>
        <v>0</v>
      </c>
      <c r="S193" s="479">
        <f t="shared" si="19"/>
        <v>0</v>
      </c>
      <c r="T193" s="479">
        <f t="shared" si="20"/>
        <v>0</v>
      </c>
      <c r="U193" s="479">
        <f t="shared" si="21"/>
        <v>0</v>
      </c>
      <c r="V193" s="479">
        <f t="shared" si="22"/>
        <v>0</v>
      </c>
      <c r="W193" s="479">
        <v>0</v>
      </c>
      <c r="X193" s="479">
        <v>0</v>
      </c>
      <c r="Y193" s="479">
        <v>0</v>
      </c>
      <c r="Z193" s="479">
        <v>0</v>
      </c>
      <c r="AA193" s="471">
        <f t="shared" si="23"/>
        <v>0</v>
      </c>
      <c r="AB193" s="471">
        <f t="shared" si="24"/>
        <v>0</v>
      </c>
    </row>
    <row r="194" spans="1:28" x14ac:dyDescent="0.15">
      <c r="A194" s="433"/>
      <c r="B194" s="606"/>
      <c r="C194" s="606"/>
      <c r="D194" s="606"/>
      <c r="E194" s="433"/>
      <c r="F194" s="606"/>
      <c r="G194" s="484" t="s">
        <v>1577</v>
      </c>
      <c r="H194" s="606"/>
      <c r="I194" s="433"/>
      <c r="J194" s="607"/>
      <c r="K194" s="607"/>
      <c r="L194" s="608"/>
      <c r="M194" s="608"/>
      <c r="N194" s="624">
        <f>VLOOKUP(M194,'Salary Schedule'!$B$16:$N$47,L194+1,FALSE)</f>
        <v>0</v>
      </c>
      <c r="O194" s="610"/>
      <c r="P194" s="481">
        <v>0</v>
      </c>
      <c r="Q194" s="609"/>
      <c r="R194" s="479">
        <f t="shared" si="18"/>
        <v>0</v>
      </c>
      <c r="S194" s="479">
        <f t="shared" si="19"/>
        <v>0</v>
      </c>
      <c r="T194" s="479">
        <f t="shared" si="20"/>
        <v>0</v>
      </c>
      <c r="U194" s="479">
        <f t="shared" si="21"/>
        <v>0</v>
      </c>
      <c r="V194" s="479">
        <f t="shared" si="22"/>
        <v>0</v>
      </c>
      <c r="W194" s="479">
        <v>0</v>
      </c>
      <c r="X194" s="479">
        <v>0</v>
      </c>
      <c r="Y194" s="479">
        <v>0</v>
      </c>
      <c r="Z194" s="479">
        <v>0</v>
      </c>
      <c r="AA194" s="471">
        <f t="shared" si="23"/>
        <v>0</v>
      </c>
      <c r="AB194" s="471">
        <f t="shared" si="24"/>
        <v>0</v>
      </c>
    </row>
    <row r="195" spans="1:28" x14ac:dyDescent="0.15">
      <c r="A195" s="433"/>
      <c r="B195" s="606"/>
      <c r="C195" s="606"/>
      <c r="D195" s="606"/>
      <c r="E195" s="433"/>
      <c r="F195" s="606"/>
      <c r="G195" s="484" t="s">
        <v>1577</v>
      </c>
      <c r="H195" s="606"/>
      <c r="I195" s="433"/>
      <c r="J195" s="607"/>
      <c r="K195" s="607"/>
      <c r="L195" s="608"/>
      <c r="M195" s="608"/>
      <c r="N195" s="624">
        <f>VLOOKUP(M195,'Salary Schedule'!$B$16:$N$47,L195+1,FALSE)</f>
        <v>0</v>
      </c>
      <c r="O195" s="610"/>
      <c r="P195" s="481">
        <v>0</v>
      </c>
      <c r="Q195" s="609"/>
      <c r="R195" s="479">
        <f t="shared" si="18"/>
        <v>0</v>
      </c>
      <c r="S195" s="479">
        <f t="shared" si="19"/>
        <v>0</v>
      </c>
      <c r="T195" s="479">
        <f t="shared" si="20"/>
        <v>0</v>
      </c>
      <c r="U195" s="479">
        <f t="shared" si="21"/>
        <v>0</v>
      </c>
      <c r="V195" s="479">
        <f t="shared" si="22"/>
        <v>0</v>
      </c>
      <c r="W195" s="479">
        <v>0</v>
      </c>
      <c r="X195" s="479">
        <v>0</v>
      </c>
      <c r="Y195" s="479">
        <v>0</v>
      </c>
      <c r="Z195" s="479">
        <v>0</v>
      </c>
      <c r="AA195" s="471">
        <f t="shared" si="23"/>
        <v>0</v>
      </c>
      <c r="AB195" s="471">
        <f t="shared" si="24"/>
        <v>0</v>
      </c>
    </row>
    <row r="196" spans="1:28" x14ac:dyDescent="0.15">
      <c r="A196" s="433"/>
      <c r="B196" s="606"/>
      <c r="C196" s="606"/>
      <c r="D196" s="606"/>
      <c r="E196" s="433"/>
      <c r="F196" s="606"/>
      <c r="G196" s="484" t="s">
        <v>1577</v>
      </c>
      <c r="H196" s="606"/>
      <c r="I196" s="433"/>
      <c r="J196" s="607"/>
      <c r="K196" s="607"/>
      <c r="L196" s="608"/>
      <c r="M196" s="608"/>
      <c r="N196" s="624">
        <f>VLOOKUP(M196,'Salary Schedule'!$B$16:$N$47,L196+1,FALSE)</f>
        <v>0</v>
      </c>
      <c r="O196" s="610"/>
      <c r="P196" s="481">
        <v>0</v>
      </c>
      <c r="Q196" s="609"/>
      <c r="R196" s="479">
        <f t="shared" si="18"/>
        <v>0</v>
      </c>
      <c r="S196" s="479">
        <f t="shared" si="19"/>
        <v>0</v>
      </c>
      <c r="T196" s="479">
        <f t="shared" si="20"/>
        <v>0</v>
      </c>
      <c r="U196" s="479">
        <f t="shared" si="21"/>
        <v>0</v>
      </c>
      <c r="V196" s="479">
        <f t="shared" si="22"/>
        <v>0</v>
      </c>
      <c r="W196" s="479">
        <v>0</v>
      </c>
      <c r="X196" s="479">
        <v>0</v>
      </c>
      <c r="Y196" s="479">
        <v>0</v>
      </c>
      <c r="Z196" s="479">
        <v>0</v>
      </c>
      <c r="AA196" s="471">
        <f t="shared" si="23"/>
        <v>0</v>
      </c>
      <c r="AB196" s="471">
        <f t="shared" si="24"/>
        <v>0</v>
      </c>
    </row>
    <row r="197" spans="1:28" x14ac:dyDescent="0.15">
      <c r="A197" s="433"/>
      <c r="B197" s="606"/>
      <c r="C197" s="606"/>
      <c r="D197" s="606"/>
      <c r="E197" s="433"/>
      <c r="F197" s="606"/>
      <c r="G197" s="484" t="s">
        <v>1577</v>
      </c>
      <c r="H197" s="606"/>
      <c r="I197" s="433"/>
      <c r="J197" s="607"/>
      <c r="K197" s="607"/>
      <c r="L197" s="608"/>
      <c r="M197" s="608"/>
      <c r="N197" s="624">
        <f>VLOOKUP(M197,'Salary Schedule'!$B$16:$N$47,L197+1,FALSE)</f>
        <v>0</v>
      </c>
      <c r="O197" s="610"/>
      <c r="P197" s="481">
        <v>0</v>
      </c>
      <c r="Q197" s="609"/>
      <c r="R197" s="479">
        <f t="shared" si="18"/>
        <v>0</v>
      </c>
      <c r="S197" s="479">
        <f t="shared" si="19"/>
        <v>0</v>
      </c>
      <c r="T197" s="479">
        <f t="shared" si="20"/>
        <v>0</v>
      </c>
      <c r="U197" s="479">
        <f t="shared" si="21"/>
        <v>0</v>
      </c>
      <c r="V197" s="479">
        <f t="shared" si="22"/>
        <v>0</v>
      </c>
      <c r="W197" s="479">
        <v>0</v>
      </c>
      <c r="X197" s="479">
        <v>0</v>
      </c>
      <c r="Y197" s="479">
        <v>0</v>
      </c>
      <c r="Z197" s="479">
        <v>0</v>
      </c>
      <c r="AA197" s="471">
        <f t="shared" si="23"/>
        <v>0</v>
      </c>
      <c r="AB197" s="471">
        <f t="shared" si="24"/>
        <v>0</v>
      </c>
    </row>
    <row r="198" spans="1:28" x14ac:dyDescent="0.15">
      <c r="A198" s="433"/>
      <c r="B198" s="606"/>
      <c r="C198" s="606"/>
      <c r="D198" s="606"/>
      <c r="E198" s="433"/>
      <c r="F198" s="606"/>
      <c r="G198" s="484" t="s">
        <v>1577</v>
      </c>
      <c r="H198" s="606"/>
      <c r="I198" s="433"/>
      <c r="J198" s="607"/>
      <c r="K198" s="607"/>
      <c r="L198" s="608"/>
      <c r="M198" s="608"/>
      <c r="N198" s="624">
        <f>VLOOKUP(M198,'Salary Schedule'!$B$16:$N$47,L198+1,FALSE)</f>
        <v>0</v>
      </c>
      <c r="O198" s="610"/>
      <c r="P198" s="481">
        <v>0</v>
      </c>
      <c r="Q198" s="609"/>
      <c r="R198" s="479">
        <f t="shared" si="18"/>
        <v>0</v>
      </c>
      <c r="S198" s="479">
        <f t="shared" si="19"/>
        <v>0</v>
      </c>
      <c r="T198" s="479">
        <f t="shared" si="20"/>
        <v>0</v>
      </c>
      <c r="U198" s="479">
        <f t="shared" si="21"/>
        <v>0</v>
      </c>
      <c r="V198" s="479">
        <f t="shared" si="22"/>
        <v>0</v>
      </c>
      <c r="W198" s="479">
        <v>0</v>
      </c>
      <c r="X198" s="479">
        <v>0</v>
      </c>
      <c r="Y198" s="479">
        <v>0</v>
      </c>
      <c r="Z198" s="479">
        <v>0</v>
      </c>
      <c r="AA198" s="471">
        <f t="shared" si="23"/>
        <v>0</v>
      </c>
      <c r="AB198" s="471">
        <f t="shared" si="24"/>
        <v>0</v>
      </c>
    </row>
    <row r="199" spans="1:28" x14ac:dyDescent="0.15">
      <c r="A199" s="433"/>
      <c r="B199" s="606"/>
      <c r="C199" s="606"/>
      <c r="D199" s="606"/>
      <c r="E199" s="433"/>
      <c r="F199" s="606"/>
      <c r="G199" s="484" t="s">
        <v>1577</v>
      </c>
      <c r="H199" s="606"/>
      <c r="I199" s="433"/>
      <c r="J199" s="607"/>
      <c r="K199" s="607"/>
      <c r="L199" s="608"/>
      <c r="M199" s="608"/>
      <c r="N199" s="624">
        <f>VLOOKUP(M199,'Salary Schedule'!$B$16:$N$47,L199+1,FALSE)</f>
        <v>0</v>
      </c>
      <c r="O199" s="610"/>
      <c r="P199" s="481">
        <v>0</v>
      </c>
      <c r="Q199" s="609"/>
      <c r="R199" s="479">
        <f t="shared" si="18"/>
        <v>0</v>
      </c>
      <c r="S199" s="479">
        <f t="shared" si="19"/>
        <v>0</v>
      </c>
      <c r="T199" s="479">
        <f t="shared" si="20"/>
        <v>0</v>
      </c>
      <c r="U199" s="479">
        <f t="shared" si="21"/>
        <v>0</v>
      </c>
      <c r="V199" s="479">
        <f t="shared" si="22"/>
        <v>0</v>
      </c>
      <c r="W199" s="479">
        <v>0</v>
      </c>
      <c r="X199" s="479">
        <v>0</v>
      </c>
      <c r="Y199" s="479">
        <v>0</v>
      </c>
      <c r="Z199" s="479">
        <v>0</v>
      </c>
      <c r="AA199" s="471">
        <f t="shared" si="23"/>
        <v>0</v>
      </c>
      <c r="AB199" s="471">
        <f t="shared" si="24"/>
        <v>0</v>
      </c>
    </row>
    <row r="200" spans="1:28" x14ac:dyDescent="0.15">
      <c r="A200" s="433"/>
      <c r="B200" s="606"/>
      <c r="C200" s="606"/>
      <c r="D200" s="606"/>
      <c r="E200" s="433"/>
      <c r="F200" s="606"/>
      <c r="G200" s="484" t="s">
        <v>1577</v>
      </c>
      <c r="H200" s="606"/>
      <c r="I200" s="433"/>
      <c r="J200" s="607"/>
      <c r="K200" s="607"/>
      <c r="L200" s="608"/>
      <c r="M200" s="608"/>
      <c r="N200" s="624">
        <f>VLOOKUP(M200,'Salary Schedule'!$B$16:$N$47,L200+1,FALSE)</f>
        <v>0</v>
      </c>
      <c r="O200" s="610"/>
      <c r="P200" s="481">
        <v>0</v>
      </c>
      <c r="Q200" s="609"/>
      <c r="R200" s="479">
        <f t="shared" si="18"/>
        <v>0</v>
      </c>
      <c r="S200" s="479">
        <f t="shared" si="19"/>
        <v>0</v>
      </c>
      <c r="T200" s="479">
        <f t="shared" si="20"/>
        <v>0</v>
      </c>
      <c r="U200" s="479">
        <f t="shared" si="21"/>
        <v>0</v>
      </c>
      <c r="V200" s="479">
        <f t="shared" si="22"/>
        <v>0</v>
      </c>
      <c r="W200" s="479">
        <v>0</v>
      </c>
      <c r="X200" s="479">
        <v>0</v>
      </c>
      <c r="Y200" s="479">
        <v>0</v>
      </c>
      <c r="Z200" s="479">
        <v>0</v>
      </c>
      <c r="AA200" s="471">
        <f t="shared" si="23"/>
        <v>0</v>
      </c>
      <c r="AB200" s="471">
        <f t="shared" si="24"/>
        <v>0</v>
      </c>
    </row>
    <row r="201" spans="1:28" x14ac:dyDescent="0.15">
      <c r="A201" s="433"/>
      <c r="B201" s="606"/>
      <c r="C201" s="606"/>
      <c r="D201" s="606"/>
      <c r="E201" s="433"/>
      <c r="F201" s="606"/>
      <c r="G201" s="484" t="s">
        <v>1577</v>
      </c>
      <c r="H201" s="606"/>
      <c r="I201" s="433"/>
      <c r="J201" s="607"/>
      <c r="K201" s="607"/>
      <c r="L201" s="608"/>
      <c r="M201" s="608"/>
      <c r="N201" s="624">
        <f>VLOOKUP(M201,'Salary Schedule'!$B$16:$N$47,L201+1,FALSE)</f>
        <v>0</v>
      </c>
      <c r="O201" s="610"/>
      <c r="P201" s="481">
        <v>0</v>
      </c>
      <c r="Q201" s="609"/>
      <c r="R201" s="479">
        <f t="shared" si="18"/>
        <v>0</v>
      </c>
      <c r="S201" s="479">
        <f t="shared" si="19"/>
        <v>0</v>
      </c>
      <c r="T201" s="479">
        <f t="shared" si="20"/>
        <v>0</v>
      </c>
      <c r="U201" s="479">
        <f t="shared" si="21"/>
        <v>0</v>
      </c>
      <c r="V201" s="479">
        <f t="shared" si="22"/>
        <v>0</v>
      </c>
      <c r="W201" s="479">
        <v>0</v>
      </c>
      <c r="X201" s="479">
        <v>0</v>
      </c>
      <c r="Y201" s="479">
        <v>0</v>
      </c>
      <c r="Z201" s="479">
        <v>0</v>
      </c>
      <c r="AA201" s="471">
        <f t="shared" si="23"/>
        <v>0</v>
      </c>
      <c r="AB201" s="471">
        <f t="shared" si="24"/>
        <v>0</v>
      </c>
    </row>
    <row r="202" spans="1:28" hidden="1" x14ac:dyDescent="0.15"/>
    <row r="203" spans="1:28" hidden="1" x14ac:dyDescent="0.15"/>
    <row r="204" spans="1:28" hidden="1" x14ac:dyDescent="0.15"/>
    <row r="205" spans="1:28" hidden="1" x14ac:dyDescent="0.15"/>
    <row r="206" spans="1:28" hidden="1" x14ac:dyDescent="0.15"/>
    <row r="207" spans="1:28" hidden="1" x14ac:dyDescent="0.15"/>
    <row r="208" spans="1:2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  <row r="65536" hidden="1" x14ac:dyDescent="0.15"/>
  </sheetData>
  <sheetProtection password="CB03" sheet="1" formatColumns="0" formatRows="0" autoFilter="0"/>
  <mergeCells count="2">
    <mergeCell ref="C3:I3"/>
    <mergeCell ref="R5:Z5"/>
  </mergeCells>
  <phoneticPr fontId="15" type="noConversion"/>
  <conditionalFormatting sqref="E12:E200">
    <cfRule type="expression" dxfId="3" priority="1" stopIfTrue="1">
      <formula>ISERROR(VLOOKUP(E12,AllowProg,HLOOKUP(A12,AllowFundHlook,2,FALSE),FALSE))</formula>
    </cfRule>
    <cfRule type="expression" dxfId="2" priority="2" stopIfTrue="1">
      <formula>VLOOKUP(E12,AllowProg,HLOOKUP(A12,AllowFundHlook,2,FALSE),FALSE)="N/A"</formula>
    </cfRule>
  </conditionalFormatting>
  <conditionalFormatting sqref="E11 E201">
    <cfRule type="expression" dxfId="1" priority="3" stopIfTrue="1">
      <formula>ISERROR(VLOOKUP(E11,AllowProg,HLOOKUP(A11,AllowFundHlook,2,FALSE),FALSE))</formula>
    </cfRule>
    <cfRule type="expression" dxfId="0" priority="4" stopIfTrue="1">
      <formula>VLOOKUP(E11,AllowProg,HLOOKUP(A11,AllowFundHlook,2,FALSE),FALSE)="N/A"</formula>
    </cfRule>
  </conditionalFormatting>
  <dataValidations xWindow="63" yWindow="294" count="4">
    <dataValidation allowBlank="1" showInputMessage="1" showErrorMessage="1" promptTitle="Salary Amount" prompt="Program code in column E must be allowable to link._x000a__x000a_Normal calculation will be column N (Salary Schedule Amount) times column P (FTE %)_x000a__x000a_However, you may override the amount in this column if needed.  Such as for a capped amount for grant purposes." sqref="R11"/>
    <dataValidation type="list" showDropDown="1" showInputMessage="1" showErrorMessage="1" errorTitle="Bolded Object must be 0100" error="Bolded Object must be 0100" promptTitle="Bolded Object must be 0100" prompt="Bolded Object must be 0100" sqref="G11:G201">
      <formula1>"0100"</formula1>
    </dataValidation>
    <dataValidation type="list" allowBlank="1" showInputMessage="1" showErrorMessage="1" errorTitle="Fund Selection" error="You must select a Fund code from the Dropdown list" promptTitle="Fund for Staff Detail linking" prompt="Select an allowable Fund code from the dropdown list._x000a__x000a_If the fund is not on this listing, the salary and benefit amounts must be input directly to the Fund Tab - they will not link from this worksheet." sqref="A11">
      <formula1>"10,11,19,22,23,24,51"</formula1>
    </dataValidation>
    <dataValidation type="list" allowBlank="1" showInputMessage="1" showErrorMessage="1" errorTitle="Fund Selection" error="You must select a Fund code from the Dropdown list" sqref="A12:A201">
      <formula1>"10,11,19,22,23,24,51"</formula1>
    </dataValidation>
  </dataValidations>
  <pageMargins left="0.75" right="0.75" top="1" bottom="1" header="0.5" footer="0.5"/>
  <pageSetup paperSize="5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opLeftCell="A64" zoomScaleNormal="100" workbookViewId="0">
      <selection activeCell="D4" sqref="D4"/>
    </sheetView>
  </sheetViews>
  <sheetFormatPr defaultRowHeight="10.5" x14ac:dyDescent="0.15"/>
  <cols>
    <col min="1" max="1" width="10" style="490" customWidth="1"/>
    <col min="2" max="2" width="5" style="424" bestFit="1" customWidth="1"/>
    <col min="3" max="3" width="70.83203125" style="423" customWidth="1"/>
    <col min="4" max="4" width="15.83203125" style="423" customWidth="1"/>
    <col min="5" max="5" width="17.33203125" style="423" customWidth="1"/>
    <col min="6" max="6" width="17.1640625" style="423" customWidth="1"/>
    <col min="7" max="7" width="18.33203125" style="423" customWidth="1"/>
    <col min="8" max="9" width="18.83203125" style="423" customWidth="1"/>
    <col min="10" max="16384" width="9.33203125" style="423"/>
  </cols>
  <sheetData>
    <row r="1" spans="1:9" x14ac:dyDescent="0.15">
      <c r="A1" s="423" t="s">
        <v>106</v>
      </c>
      <c r="C1" s="425">
        <f>+'Page 1 - FY2014-15'!B5</f>
        <v>0</v>
      </c>
      <c r="D1" s="138" t="s">
        <v>1586</v>
      </c>
      <c r="E1" s="428">
        <f>+'Page 1 - FY2014-15'!F7</f>
        <v>0</v>
      </c>
      <c r="G1" s="485" t="s">
        <v>1588</v>
      </c>
      <c r="I1" s="486"/>
    </row>
    <row r="2" spans="1:9" ht="15.75" x14ac:dyDescent="0.25">
      <c r="A2" s="487" t="s">
        <v>1587</v>
      </c>
      <c r="B2" s="488"/>
      <c r="C2" s="489"/>
    </row>
    <row r="3" spans="1:9" ht="31.5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6.25" customHeight="1" thickBot="1" x14ac:dyDescent="0.2">
      <c r="D4" s="491"/>
      <c r="E4" s="491"/>
      <c r="F4" s="491"/>
      <c r="G4" s="491"/>
      <c r="H4" s="492" t="s">
        <v>193</v>
      </c>
      <c r="I4" s="548" t="s">
        <v>192</v>
      </c>
    </row>
    <row r="5" spans="1:9" ht="11.25" thickBot="1" x14ac:dyDescent="0.2">
      <c r="A5" s="493" t="s">
        <v>1593</v>
      </c>
      <c r="B5" s="494" t="s">
        <v>1589</v>
      </c>
      <c r="C5" s="495"/>
      <c r="D5" s="39">
        <v>0</v>
      </c>
      <c r="E5" s="39">
        <v>0</v>
      </c>
      <c r="F5" s="39">
        <v>0</v>
      </c>
      <c r="G5" s="300">
        <v>0</v>
      </c>
      <c r="H5" s="531">
        <v>0</v>
      </c>
      <c r="I5" s="323">
        <f>SUM(G5+H5)</f>
        <v>0</v>
      </c>
    </row>
    <row r="6" spans="1:9" x14ac:dyDescent="0.15">
      <c r="A6" s="496" t="s">
        <v>1592</v>
      </c>
      <c r="B6" s="497" t="s">
        <v>1594</v>
      </c>
      <c r="D6" s="498"/>
      <c r="E6" s="498"/>
      <c r="F6" s="498"/>
      <c r="G6" s="498"/>
      <c r="H6" s="498"/>
      <c r="I6" s="549"/>
    </row>
    <row r="7" spans="1:9" x14ac:dyDescent="0.15">
      <c r="A7" s="425" t="s">
        <v>1595</v>
      </c>
      <c r="B7" s="499" t="s">
        <v>1159</v>
      </c>
      <c r="C7" s="138" t="s">
        <v>256</v>
      </c>
      <c r="D7" s="41">
        <v>0</v>
      </c>
      <c r="E7" s="41">
        <v>0</v>
      </c>
      <c r="F7" s="41">
        <v>0</v>
      </c>
      <c r="G7" s="41">
        <v>0</v>
      </c>
      <c r="H7" s="532">
        <v>0</v>
      </c>
      <c r="I7" s="536">
        <f t="shared" ref="I7:I43" si="0">SUM(G7+H7)</f>
        <v>0</v>
      </c>
    </row>
    <row r="8" spans="1:9" x14ac:dyDescent="0.15">
      <c r="A8" s="425" t="s">
        <v>1596</v>
      </c>
      <c r="B8" s="499" t="s">
        <v>1160</v>
      </c>
      <c r="C8" s="138" t="s">
        <v>257</v>
      </c>
      <c r="D8" s="41">
        <v>0</v>
      </c>
      <c r="E8" s="41">
        <v>0</v>
      </c>
      <c r="F8" s="41">
        <v>0</v>
      </c>
      <c r="G8" s="41">
        <v>0</v>
      </c>
      <c r="H8" s="532">
        <v>0</v>
      </c>
      <c r="I8" s="536">
        <f t="shared" si="0"/>
        <v>0</v>
      </c>
    </row>
    <row r="9" spans="1:9" x14ac:dyDescent="0.15">
      <c r="A9" s="425" t="s">
        <v>1597</v>
      </c>
      <c r="B9" s="499" t="s">
        <v>1161</v>
      </c>
      <c r="C9" s="138" t="s">
        <v>258</v>
      </c>
      <c r="D9" s="41">
        <v>0</v>
      </c>
      <c r="E9" s="41">
        <v>0</v>
      </c>
      <c r="F9" s="41">
        <v>0</v>
      </c>
      <c r="G9" s="41">
        <v>0</v>
      </c>
      <c r="H9" s="532">
        <v>0</v>
      </c>
      <c r="I9" s="536">
        <f t="shared" si="0"/>
        <v>0</v>
      </c>
    </row>
    <row r="10" spans="1:9" x14ac:dyDescent="0.15">
      <c r="A10" s="425" t="s">
        <v>1598</v>
      </c>
      <c r="B10" s="499" t="s">
        <v>1228</v>
      </c>
      <c r="C10" s="138" t="s">
        <v>558</v>
      </c>
      <c r="D10" s="41">
        <v>0</v>
      </c>
      <c r="E10" s="41">
        <v>0</v>
      </c>
      <c r="F10" s="41">
        <v>0</v>
      </c>
      <c r="G10" s="41">
        <v>0</v>
      </c>
      <c r="H10" s="532">
        <v>0</v>
      </c>
      <c r="I10" s="536">
        <f t="shared" si="0"/>
        <v>0</v>
      </c>
    </row>
    <row r="11" spans="1:9" x14ac:dyDescent="0.15">
      <c r="A11" s="425" t="s">
        <v>255</v>
      </c>
      <c r="B11" s="499" t="s">
        <v>1229</v>
      </c>
      <c r="C11" s="138" t="s">
        <v>559</v>
      </c>
      <c r="D11" s="41">
        <v>0</v>
      </c>
      <c r="E11" s="41">
        <v>0</v>
      </c>
      <c r="F11" s="41">
        <v>0</v>
      </c>
      <c r="G11" s="41">
        <v>0</v>
      </c>
      <c r="H11" s="532">
        <v>0</v>
      </c>
      <c r="I11" s="536">
        <f t="shared" si="0"/>
        <v>0</v>
      </c>
    </row>
    <row r="12" spans="1:9" x14ac:dyDescent="0.15">
      <c r="A12" s="425" t="s">
        <v>1599</v>
      </c>
      <c r="B12" s="499" t="s">
        <v>1230</v>
      </c>
      <c r="C12" s="138" t="s">
        <v>560</v>
      </c>
      <c r="D12" s="41">
        <v>0</v>
      </c>
      <c r="E12" s="41">
        <v>0</v>
      </c>
      <c r="F12" s="41">
        <v>0</v>
      </c>
      <c r="G12" s="41">
        <v>0</v>
      </c>
      <c r="H12" s="532">
        <v>0</v>
      </c>
      <c r="I12" s="536">
        <f t="shared" si="0"/>
        <v>0</v>
      </c>
    </row>
    <row r="13" spans="1:9" x14ac:dyDescent="0.15">
      <c r="A13" s="425" t="s">
        <v>1600</v>
      </c>
      <c r="B13" s="499" t="s">
        <v>1231</v>
      </c>
      <c r="C13" s="138" t="s">
        <v>561</v>
      </c>
      <c r="D13" s="41">
        <v>0</v>
      </c>
      <c r="E13" s="41">
        <v>0</v>
      </c>
      <c r="F13" s="41">
        <v>0</v>
      </c>
      <c r="G13" s="41">
        <v>0</v>
      </c>
      <c r="H13" s="532">
        <v>0</v>
      </c>
      <c r="I13" s="536">
        <f t="shared" si="0"/>
        <v>0</v>
      </c>
    </row>
    <row r="14" spans="1:9" x14ac:dyDescent="0.15">
      <c r="A14" s="425" t="s">
        <v>599</v>
      </c>
      <c r="B14" s="499" t="s">
        <v>1232</v>
      </c>
      <c r="C14" s="138" t="s">
        <v>604</v>
      </c>
      <c r="D14" s="41">
        <v>0</v>
      </c>
      <c r="E14" s="41">
        <v>0</v>
      </c>
      <c r="F14" s="41">
        <v>0</v>
      </c>
      <c r="G14" s="41">
        <v>0</v>
      </c>
      <c r="H14" s="532">
        <v>0</v>
      </c>
      <c r="I14" s="536">
        <f t="shared" si="0"/>
        <v>0</v>
      </c>
    </row>
    <row r="15" spans="1:9" x14ac:dyDescent="0.15">
      <c r="A15" s="425" t="s">
        <v>600</v>
      </c>
      <c r="B15" s="499" t="s">
        <v>1240</v>
      </c>
      <c r="C15" s="138" t="s">
        <v>613</v>
      </c>
      <c r="D15" s="41">
        <v>0</v>
      </c>
      <c r="E15" s="41">
        <v>0</v>
      </c>
      <c r="F15" s="41">
        <v>0</v>
      </c>
      <c r="G15" s="41">
        <v>0</v>
      </c>
      <c r="H15" s="532">
        <v>0</v>
      </c>
      <c r="I15" s="536">
        <f t="shared" si="0"/>
        <v>0</v>
      </c>
    </row>
    <row r="16" spans="1:9" x14ac:dyDescent="0.15">
      <c r="A16" s="425" t="s">
        <v>601</v>
      </c>
      <c r="B16" s="499" t="s">
        <v>1244</v>
      </c>
      <c r="C16" s="138" t="s">
        <v>605</v>
      </c>
      <c r="D16" s="41">
        <v>0</v>
      </c>
      <c r="E16" s="41">
        <v>0</v>
      </c>
      <c r="F16" s="41">
        <v>0</v>
      </c>
      <c r="G16" s="41">
        <v>0</v>
      </c>
      <c r="H16" s="532">
        <v>0</v>
      </c>
      <c r="I16" s="536">
        <f t="shared" si="0"/>
        <v>0</v>
      </c>
    </row>
    <row r="17" spans="1:9" x14ac:dyDescent="0.15">
      <c r="A17" s="425" t="s">
        <v>602</v>
      </c>
      <c r="B17" s="499" t="s">
        <v>1245</v>
      </c>
      <c r="C17" s="138" t="s">
        <v>606</v>
      </c>
      <c r="D17" s="41">
        <v>0</v>
      </c>
      <c r="E17" s="41">
        <v>0</v>
      </c>
      <c r="F17" s="41">
        <v>0</v>
      </c>
      <c r="G17" s="41">
        <v>0</v>
      </c>
      <c r="H17" s="532">
        <v>0</v>
      </c>
      <c r="I17" s="536">
        <f t="shared" si="0"/>
        <v>0</v>
      </c>
    </row>
    <row r="18" spans="1:9" x14ac:dyDescent="0.15">
      <c r="A18" s="425" t="s">
        <v>603</v>
      </c>
      <c r="B18" s="499" t="s">
        <v>1241</v>
      </c>
      <c r="C18" s="138" t="s">
        <v>607</v>
      </c>
      <c r="D18" s="41">
        <v>0</v>
      </c>
      <c r="E18" s="41">
        <v>0</v>
      </c>
      <c r="F18" s="41">
        <v>0</v>
      </c>
      <c r="G18" s="41">
        <v>0</v>
      </c>
      <c r="H18" s="532">
        <v>0</v>
      </c>
      <c r="I18" s="536">
        <f t="shared" si="0"/>
        <v>0</v>
      </c>
    </row>
    <row r="19" spans="1:9" x14ac:dyDescent="0.15">
      <c r="A19" s="500" t="s">
        <v>701</v>
      </c>
      <c r="B19" s="499" t="s">
        <v>1242</v>
      </c>
      <c r="C19" s="138" t="s">
        <v>608</v>
      </c>
      <c r="D19" s="41">
        <v>0</v>
      </c>
      <c r="E19" s="41">
        <v>0</v>
      </c>
      <c r="F19" s="41">
        <v>0</v>
      </c>
      <c r="G19" s="41">
        <v>0</v>
      </c>
      <c r="H19" s="532">
        <v>0</v>
      </c>
      <c r="I19" s="536">
        <f t="shared" si="0"/>
        <v>0</v>
      </c>
    </row>
    <row r="20" spans="1:9" x14ac:dyDescent="0.15">
      <c r="A20" s="425" t="s">
        <v>609</v>
      </c>
      <c r="B20" s="499" t="s">
        <v>1247</v>
      </c>
      <c r="C20" s="138" t="s">
        <v>442</v>
      </c>
      <c r="D20" s="41">
        <v>0</v>
      </c>
      <c r="E20" s="41">
        <v>0</v>
      </c>
      <c r="F20" s="41">
        <v>0</v>
      </c>
      <c r="G20" s="41">
        <v>0</v>
      </c>
      <c r="H20" s="532">
        <v>0</v>
      </c>
      <c r="I20" s="536">
        <f t="shared" si="0"/>
        <v>0</v>
      </c>
    </row>
    <row r="21" spans="1:9" x14ac:dyDescent="0.15">
      <c r="A21" s="425" t="s">
        <v>610</v>
      </c>
      <c r="B21" s="499" t="s">
        <v>1248</v>
      </c>
      <c r="C21" s="138" t="s">
        <v>611</v>
      </c>
      <c r="D21" s="41">
        <v>0</v>
      </c>
      <c r="E21" s="41">
        <v>0</v>
      </c>
      <c r="F21" s="41">
        <v>0</v>
      </c>
      <c r="G21" s="41">
        <v>0</v>
      </c>
      <c r="H21" s="532">
        <v>0</v>
      </c>
      <c r="I21" s="536">
        <f t="shared" si="0"/>
        <v>0</v>
      </c>
    </row>
    <row r="22" spans="1:9" x14ac:dyDescent="0.15">
      <c r="A22" s="425" t="s">
        <v>612</v>
      </c>
      <c r="B22" s="499" t="s">
        <v>1249</v>
      </c>
      <c r="C22" s="138" t="s">
        <v>528</v>
      </c>
      <c r="D22" s="41">
        <v>0</v>
      </c>
      <c r="E22" s="41">
        <v>0</v>
      </c>
      <c r="F22" s="41">
        <v>0</v>
      </c>
      <c r="G22" s="41">
        <v>0</v>
      </c>
      <c r="H22" s="532">
        <v>0</v>
      </c>
      <c r="I22" s="536">
        <f t="shared" si="0"/>
        <v>0</v>
      </c>
    </row>
    <row r="23" spans="1:9" x14ac:dyDescent="0.15">
      <c r="A23" s="425" t="s">
        <v>614</v>
      </c>
      <c r="B23" s="499" t="s">
        <v>1250</v>
      </c>
      <c r="C23" s="138" t="s">
        <v>521</v>
      </c>
      <c r="D23" s="41">
        <v>0</v>
      </c>
      <c r="E23" s="41">
        <v>0</v>
      </c>
      <c r="F23" s="41">
        <v>0</v>
      </c>
      <c r="G23" s="41">
        <v>0</v>
      </c>
      <c r="H23" s="532">
        <v>0</v>
      </c>
      <c r="I23" s="536">
        <f t="shared" si="0"/>
        <v>0</v>
      </c>
    </row>
    <row r="24" spans="1:9" x14ac:dyDescent="0.15">
      <c r="A24" s="425" t="s">
        <v>522</v>
      </c>
      <c r="B24" s="499" t="s">
        <v>1251</v>
      </c>
      <c r="C24" s="138" t="s">
        <v>523</v>
      </c>
      <c r="D24" s="41">
        <v>0</v>
      </c>
      <c r="E24" s="41">
        <v>0</v>
      </c>
      <c r="F24" s="41">
        <v>0</v>
      </c>
      <c r="G24" s="41">
        <v>0</v>
      </c>
      <c r="H24" s="532">
        <v>0</v>
      </c>
      <c r="I24" s="536">
        <f t="shared" si="0"/>
        <v>0</v>
      </c>
    </row>
    <row r="25" spans="1:9" x14ac:dyDescent="0.15">
      <c r="A25" s="425" t="s">
        <v>524</v>
      </c>
      <c r="B25" s="499" t="s">
        <v>1252</v>
      </c>
      <c r="C25" s="138" t="s">
        <v>525</v>
      </c>
      <c r="D25" s="41">
        <v>0</v>
      </c>
      <c r="E25" s="41">
        <v>0</v>
      </c>
      <c r="F25" s="41">
        <v>0</v>
      </c>
      <c r="G25" s="41">
        <v>0</v>
      </c>
      <c r="H25" s="532">
        <v>0</v>
      </c>
      <c r="I25" s="536">
        <f t="shared" si="0"/>
        <v>0</v>
      </c>
    </row>
    <row r="26" spans="1:9" x14ac:dyDescent="0.15">
      <c r="A26" s="425" t="s">
        <v>526</v>
      </c>
      <c r="B26" s="499" t="s">
        <v>1253</v>
      </c>
      <c r="C26" s="138" t="s">
        <v>527</v>
      </c>
      <c r="D26" s="41">
        <v>0</v>
      </c>
      <c r="E26" s="41">
        <v>0</v>
      </c>
      <c r="F26" s="41">
        <v>0</v>
      </c>
      <c r="G26" s="41">
        <v>0</v>
      </c>
      <c r="H26" s="532">
        <v>0</v>
      </c>
      <c r="I26" s="536">
        <f t="shared" si="0"/>
        <v>0</v>
      </c>
    </row>
    <row r="27" spans="1:9" x14ac:dyDescent="0.15">
      <c r="A27" s="425" t="s">
        <v>1602</v>
      </c>
      <c r="B27" s="499" t="s">
        <v>1254</v>
      </c>
      <c r="C27" s="138" t="s">
        <v>443</v>
      </c>
      <c r="D27" s="41">
        <v>0</v>
      </c>
      <c r="E27" s="41">
        <v>0</v>
      </c>
      <c r="F27" s="41">
        <v>0</v>
      </c>
      <c r="G27" s="41">
        <v>0</v>
      </c>
      <c r="H27" s="532">
        <v>0</v>
      </c>
      <c r="I27" s="536">
        <f t="shared" si="0"/>
        <v>0</v>
      </c>
    </row>
    <row r="28" spans="1:9" x14ac:dyDescent="0.15">
      <c r="A28" s="425" t="s">
        <v>529</v>
      </c>
      <c r="B28" s="499" t="s">
        <v>1255</v>
      </c>
      <c r="C28" s="138" t="s">
        <v>530</v>
      </c>
      <c r="D28" s="41">
        <v>0</v>
      </c>
      <c r="E28" s="41">
        <v>0</v>
      </c>
      <c r="F28" s="41">
        <v>0</v>
      </c>
      <c r="G28" s="41">
        <v>0</v>
      </c>
      <c r="H28" s="532">
        <v>0</v>
      </c>
      <c r="I28" s="536">
        <f t="shared" si="0"/>
        <v>0</v>
      </c>
    </row>
    <row r="29" spans="1:9" x14ac:dyDescent="0.15">
      <c r="A29" s="425" t="s">
        <v>113</v>
      </c>
      <c r="B29" s="499" t="s">
        <v>1260</v>
      </c>
      <c r="C29" s="138" t="s">
        <v>531</v>
      </c>
      <c r="D29" s="41">
        <v>0</v>
      </c>
      <c r="E29" s="41">
        <v>0</v>
      </c>
      <c r="F29" s="41">
        <v>0</v>
      </c>
      <c r="G29" s="41">
        <v>0</v>
      </c>
      <c r="H29" s="532">
        <v>0</v>
      </c>
      <c r="I29" s="536">
        <f t="shared" si="0"/>
        <v>0</v>
      </c>
    </row>
    <row r="30" spans="1:9" x14ac:dyDescent="0.15">
      <c r="A30" s="425" t="s">
        <v>532</v>
      </c>
      <c r="B30" s="499" t="s">
        <v>1261</v>
      </c>
      <c r="C30" s="138" t="s">
        <v>533</v>
      </c>
      <c r="D30" s="41">
        <v>0</v>
      </c>
      <c r="E30" s="41">
        <v>0</v>
      </c>
      <c r="F30" s="41">
        <v>0</v>
      </c>
      <c r="G30" s="41">
        <v>0</v>
      </c>
      <c r="H30" s="532">
        <v>0</v>
      </c>
      <c r="I30" s="536">
        <f t="shared" si="0"/>
        <v>0</v>
      </c>
    </row>
    <row r="31" spans="1:9" x14ac:dyDescent="0.15">
      <c r="A31" s="425">
        <v>1800</v>
      </c>
      <c r="B31" s="499" t="s">
        <v>1262</v>
      </c>
      <c r="C31" s="138" t="s">
        <v>444</v>
      </c>
      <c r="D31" s="41">
        <v>0</v>
      </c>
      <c r="E31" s="41">
        <v>0</v>
      </c>
      <c r="F31" s="41">
        <v>0</v>
      </c>
      <c r="G31" s="41">
        <v>0</v>
      </c>
      <c r="H31" s="532">
        <v>0</v>
      </c>
      <c r="I31" s="536">
        <f t="shared" si="0"/>
        <v>0</v>
      </c>
    </row>
    <row r="32" spans="1:9" x14ac:dyDescent="0.15">
      <c r="A32" s="425">
        <v>1850</v>
      </c>
      <c r="B32" s="499" t="s">
        <v>1263</v>
      </c>
      <c r="C32" s="138" t="s">
        <v>445</v>
      </c>
      <c r="D32" s="41">
        <v>0</v>
      </c>
      <c r="E32" s="41">
        <v>0</v>
      </c>
      <c r="F32" s="41">
        <v>0</v>
      </c>
      <c r="G32" s="41">
        <v>0</v>
      </c>
      <c r="H32" s="532">
        <v>0</v>
      </c>
      <c r="I32" s="536">
        <f t="shared" si="0"/>
        <v>0</v>
      </c>
    </row>
    <row r="33" spans="1:9" x14ac:dyDescent="0.15">
      <c r="A33" s="425" t="s">
        <v>577</v>
      </c>
      <c r="B33" s="499" t="s">
        <v>1266</v>
      </c>
      <c r="C33" s="138" t="s">
        <v>578</v>
      </c>
      <c r="D33" s="41">
        <v>0</v>
      </c>
      <c r="E33" s="41">
        <v>0</v>
      </c>
      <c r="F33" s="41">
        <v>0</v>
      </c>
      <c r="G33" s="41">
        <v>0</v>
      </c>
      <c r="H33" s="532">
        <v>0</v>
      </c>
      <c r="I33" s="536">
        <f t="shared" si="0"/>
        <v>0</v>
      </c>
    </row>
    <row r="34" spans="1:9" x14ac:dyDescent="0.15">
      <c r="A34" s="500" t="s">
        <v>505</v>
      </c>
      <c r="B34" s="499" t="s">
        <v>1267</v>
      </c>
      <c r="C34" s="138" t="s">
        <v>508</v>
      </c>
      <c r="D34" s="41">
        <v>0</v>
      </c>
      <c r="E34" s="41">
        <v>0</v>
      </c>
      <c r="F34" s="41">
        <v>0</v>
      </c>
      <c r="G34" s="41">
        <v>0</v>
      </c>
      <c r="H34" s="532">
        <v>0</v>
      </c>
      <c r="I34" s="536">
        <f t="shared" si="0"/>
        <v>0</v>
      </c>
    </row>
    <row r="35" spans="1:9" x14ac:dyDescent="0.15">
      <c r="A35" s="500" t="s">
        <v>506</v>
      </c>
      <c r="B35" s="499" t="s">
        <v>1268</v>
      </c>
      <c r="C35" s="138" t="s">
        <v>509</v>
      </c>
      <c r="D35" s="41">
        <v>0</v>
      </c>
      <c r="E35" s="41">
        <v>0</v>
      </c>
      <c r="F35" s="41">
        <v>0</v>
      </c>
      <c r="G35" s="41">
        <v>0</v>
      </c>
      <c r="H35" s="532">
        <v>0</v>
      </c>
      <c r="I35" s="536">
        <f t="shared" si="0"/>
        <v>0</v>
      </c>
    </row>
    <row r="36" spans="1:9" x14ac:dyDescent="0.15">
      <c r="A36" s="500" t="s">
        <v>507</v>
      </c>
      <c r="B36" s="499" t="s">
        <v>1269</v>
      </c>
      <c r="C36" s="138" t="s">
        <v>512</v>
      </c>
      <c r="D36" s="41">
        <v>0</v>
      </c>
      <c r="E36" s="41">
        <v>0</v>
      </c>
      <c r="F36" s="41">
        <v>0</v>
      </c>
      <c r="G36" s="41">
        <v>0</v>
      </c>
      <c r="H36" s="532">
        <v>0</v>
      </c>
      <c r="I36" s="536">
        <f t="shared" si="0"/>
        <v>0</v>
      </c>
    </row>
    <row r="37" spans="1:9" x14ac:dyDescent="0.15">
      <c r="A37" s="425" t="s">
        <v>1603</v>
      </c>
      <c r="B37" s="499" t="s">
        <v>1270</v>
      </c>
      <c r="C37" s="138" t="s">
        <v>446</v>
      </c>
      <c r="D37" s="41">
        <v>0</v>
      </c>
      <c r="E37" s="41">
        <v>0</v>
      </c>
      <c r="F37" s="41">
        <v>0</v>
      </c>
      <c r="G37" s="41">
        <v>0</v>
      </c>
      <c r="H37" s="532">
        <v>0</v>
      </c>
      <c r="I37" s="536">
        <f t="shared" si="0"/>
        <v>0</v>
      </c>
    </row>
    <row r="38" spans="1:9" x14ac:dyDescent="0.15">
      <c r="A38" s="500" t="s">
        <v>756</v>
      </c>
      <c r="B38" s="499" t="s">
        <v>1271</v>
      </c>
      <c r="C38" s="138" t="s">
        <v>447</v>
      </c>
      <c r="D38" s="41">
        <v>0</v>
      </c>
      <c r="E38" s="41">
        <v>0</v>
      </c>
      <c r="F38" s="41">
        <v>0</v>
      </c>
      <c r="G38" s="41">
        <v>0</v>
      </c>
      <c r="H38" s="532">
        <v>0</v>
      </c>
      <c r="I38" s="536">
        <f t="shared" si="0"/>
        <v>0</v>
      </c>
    </row>
    <row r="39" spans="1:9" x14ac:dyDescent="0.15">
      <c r="A39" s="500" t="s">
        <v>757</v>
      </c>
      <c r="B39" s="499" t="s">
        <v>1272</v>
      </c>
      <c r="C39" s="138" t="s">
        <v>448</v>
      </c>
      <c r="D39" s="41">
        <v>0</v>
      </c>
      <c r="E39" s="41">
        <v>0</v>
      </c>
      <c r="F39" s="41">
        <v>0</v>
      </c>
      <c r="G39" s="41">
        <v>0</v>
      </c>
      <c r="H39" s="532">
        <v>0</v>
      </c>
      <c r="I39" s="536">
        <f t="shared" si="0"/>
        <v>0</v>
      </c>
    </row>
    <row r="40" spans="1:9" x14ac:dyDescent="0.15">
      <c r="A40" s="500" t="s">
        <v>513</v>
      </c>
      <c r="B40" s="499" t="s">
        <v>1273</v>
      </c>
      <c r="C40" s="138" t="s">
        <v>514</v>
      </c>
      <c r="D40" s="41">
        <v>0</v>
      </c>
      <c r="E40" s="41">
        <v>0</v>
      </c>
      <c r="F40" s="41">
        <v>0</v>
      </c>
      <c r="G40" s="41">
        <v>0</v>
      </c>
      <c r="H40" s="532">
        <v>0</v>
      </c>
      <c r="I40" s="536">
        <f t="shared" si="0"/>
        <v>0</v>
      </c>
    </row>
    <row r="41" spans="1:9" x14ac:dyDescent="0.15">
      <c r="A41" s="500" t="s">
        <v>758</v>
      </c>
      <c r="B41" s="499" t="s">
        <v>1274</v>
      </c>
      <c r="C41" s="138" t="s">
        <v>449</v>
      </c>
      <c r="D41" s="41">
        <v>0</v>
      </c>
      <c r="E41" s="41">
        <v>0</v>
      </c>
      <c r="F41" s="41">
        <v>0</v>
      </c>
      <c r="G41" s="41">
        <v>0</v>
      </c>
      <c r="H41" s="532">
        <v>0</v>
      </c>
      <c r="I41" s="536">
        <f t="shared" si="0"/>
        <v>0</v>
      </c>
    </row>
    <row r="42" spans="1:9" x14ac:dyDescent="0.15">
      <c r="A42" s="425" t="s">
        <v>1604</v>
      </c>
      <c r="B42" s="499" t="s">
        <v>252</v>
      </c>
      <c r="C42" s="138" t="s">
        <v>450</v>
      </c>
      <c r="D42" s="41">
        <v>0</v>
      </c>
      <c r="E42" s="41">
        <v>0</v>
      </c>
      <c r="F42" s="41">
        <v>0</v>
      </c>
      <c r="G42" s="41">
        <v>0</v>
      </c>
      <c r="H42" s="532">
        <v>0</v>
      </c>
      <c r="I42" s="536">
        <f t="shared" si="0"/>
        <v>0</v>
      </c>
    </row>
    <row r="43" spans="1:9" x14ac:dyDescent="0.15">
      <c r="B43" s="499" t="s">
        <v>253</v>
      </c>
      <c r="C43" s="138" t="s">
        <v>702</v>
      </c>
      <c r="D43" s="41">
        <v>0</v>
      </c>
      <c r="E43" s="41">
        <v>0</v>
      </c>
      <c r="F43" s="41">
        <v>0</v>
      </c>
      <c r="G43" s="41">
        <v>0</v>
      </c>
      <c r="H43" s="532">
        <v>0</v>
      </c>
      <c r="I43" s="536">
        <f t="shared" si="0"/>
        <v>0</v>
      </c>
    </row>
    <row r="44" spans="1:9" ht="11.25" thickBot="1" x14ac:dyDescent="0.2">
      <c r="B44" s="501"/>
      <c r="C44" s="138"/>
      <c r="D44" s="14"/>
      <c r="E44" s="14"/>
      <c r="F44" s="14"/>
      <c r="G44" s="14"/>
      <c r="H44" s="14"/>
      <c r="I44" s="550"/>
    </row>
    <row r="45" spans="1:9" ht="12" thickTop="1" thickBot="1" x14ac:dyDescent="0.2">
      <c r="B45" s="502" t="s">
        <v>1276</v>
      </c>
      <c r="C45" s="138" t="s">
        <v>516</v>
      </c>
      <c r="D45" s="169">
        <f t="shared" ref="D45:I45" si="1">SUM(D7:D43)</f>
        <v>0</v>
      </c>
      <c r="E45" s="169">
        <f t="shared" si="1"/>
        <v>0</v>
      </c>
      <c r="F45" s="169">
        <f t="shared" si="1"/>
        <v>0</v>
      </c>
      <c r="G45" s="304">
        <f t="shared" si="1"/>
        <v>0</v>
      </c>
      <c r="H45" s="602">
        <f t="shared" si="1"/>
        <v>0</v>
      </c>
      <c r="I45" s="602">
        <f t="shared" si="1"/>
        <v>0</v>
      </c>
    </row>
    <row r="46" spans="1:9" ht="11.25" thickTop="1" x14ac:dyDescent="0.15">
      <c r="B46" s="501"/>
      <c r="C46" s="138"/>
      <c r="D46" s="198"/>
      <c r="E46" s="198"/>
      <c r="F46" s="198"/>
      <c r="G46" s="198"/>
      <c r="I46" s="545"/>
    </row>
    <row r="47" spans="1:9" ht="11.25" thickBot="1" x14ac:dyDescent="0.2">
      <c r="B47" s="497" t="s">
        <v>94</v>
      </c>
      <c r="D47" s="498"/>
      <c r="E47" s="498"/>
      <c r="F47" s="498"/>
      <c r="G47" s="498"/>
      <c r="H47" s="498"/>
      <c r="I47" s="547"/>
    </row>
    <row r="48" spans="1:9" ht="12" thickTop="1" thickBot="1" x14ac:dyDescent="0.2">
      <c r="A48" s="425" t="s">
        <v>95</v>
      </c>
      <c r="B48" s="502" t="s">
        <v>1277</v>
      </c>
      <c r="C48" s="138" t="s">
        <v>451</v>
      </c>
      <c r="D48" s="43">
        <v>0</v>
      </c>
      <c r="E48" s="43">
        <v>0</v>
      </c>
      <c r="F48" s="43">
        <v>0</v>
      </c>
      <c r="G48" s="43">
        <v>0</v>
      </c>
      <c r="H48" s="292">
        <v>0</v>
      </c>
      <c r="I48" s="565">
        <f>SUM(G48+H48)</f>
        <v>0</v>
      </c>
    </row>
    <row r="49" spans="1:9" ht="11.25" thickTop="1" x14ac:dyDescent="0.15">
      <c r="A49" s="425"/>
      <c r="B49" s="501"/>
      <c r="C49" s="138"/>
      <c r="D49" s="14"/>
      <c r="E49" s="14"/>
      <c r="F49" s="14"/>
      <c r="G49" s="14"/>
      <c r="I49" s="545"/>
    </row>
    <row r="50" spans="1:9" x14ac:dyDescent="0.15">
      <c r="B50" s="497" t="s">
        <v>96</v>
      </c>
      <c r="D50" s="498"/>
      <c r="E50" s="498"/>
      <c r="F50" s="498"/>
      <c r="G50" s="498"/>
      <c r="H50" s="498"/>
      <c r="I50" s="546"/>
    </row>
    <row r="51" spans="1:9" x14ac:dyDescent="0.15">
      <c r="A51" s="436" t="s">
        <v>97</v>
      </c>
      <c r="B51" s="502" t="s">
        <v>1278</v>
      </c>
      <c r="C51" s="688" t="s">
        <v>452</v>
      </c>
      <c r="D51" s="41">
        <v>0</v>
      </c>
      <c r="E51" s="41">
        <v>0</v>
      </c>
      <c r="F51" s="41">
        <v>0</v>
      </c>
      <c r="G51" s="41">
        <v>0</v>
      </c>
      <c r="H51" s="532">
        <v>0</v>
      </c>
      <c r="I51" s="536">
        <f t="shared" ref="I51:I73" si="2">SUM(G51+H51)</f>
        <v>0</v>
      </c>
    </row>
    <row r="52" spans="1:9" x14ac:dyDescent="0.15">
      <c r="A52" s="436" t="s">
        <v>887</v>
      </c>
      <c r="B52" s="687" t="s">
        <v>888</v>
      </c>
      <c r="C52" s="524" t="s">
        <v>35</v>
      </c>
      <c r="D52" s="41">
        <v>0</v>
      </c>
      <c r="E52" s="41">
        <v>0</v>
      </c>
      <c r="F52" s="41">
        <v>0</v>
      </c>
      <c r="G52" s="41">
        <v>0</v>
      </c>
      <c r="H52" s="532">
        <v>0</v>
      </c>
      <c r="I52" s="536">
        <f>SUM(G52+H52)</f>
        <v>0</v>
      </c>
    </row>
    <row r="53" spans="1:9" x14ac:dyDescent="0.15">
      <c r="A53" s="500" t="s">
        <v>759</v>
      </c>
      <c r="B53" s="502" t="s">
        <v>1279</v>
      </c>
      <c r="C53" s="138" t="s">
        <v>453</v>
      </c>
      <c r="D53" s="41">
        <v>0</v>
      </c>
      <c r="E53" s="41">
        <v>0</v>
      </c>
      <c r="F53" s="41">
        <v>0</v>
      </c>
      <c r="G53" s="41">
        <v>0</v>
      </c>
      <c r="H53" s="532">
        <v>0</v>
      </c>
      <c r="I53" s="536">
        <f t="shared" si="2"/>
        <v>0</v>
      </c>
    </row>
    <row r="54" spans="1:9" x14ac:dyDescent="0.15">
      <c r="A54" s="500" t="s">
        <v>760</v>
      </c>
      <c r="B54" s="499" t="s">
        <v>1280</v>
      </c>
      <c r="C54" s="138" t="s">
        <v>454</v>
      </c>
      <c r="D54" s="41">
        <v>0</v>
      </c>
      <c r="E54" s="41">
        <v>0</v>
      </c>
      <c r="F54" s="41">
        <v>0</v>
      </c>
      <c r="G54" s="41">
        <v>0</v>
      </c>
      <c r="H54" s="532">
        <v>0</v>
      </c>
      <c r="I54" s="536">
        <f t="shared" si="2"/>
        <v>0</v>
      </c>
    </row>
    <row r="55" spans="1:9" x14ac:dyDescent="0.15">
      <c r="A55" s="425" t="s">
        <v>579</v>
      </c>
      <c r="B55" s="499" t="s">
        <v>1281</v>
      </c>
      <c r="C55" s="138" t="s">
        <v>581</v>
      </c>
      <c r="D55" s="41">
        <v>0</v>
      </c>
      <c r="E55" s="41">
        <v>0</v>
      </c>
      <c r="F55" s="41">
        <v>0</v>
      </c>
      <c r="G55" s="41">
        <v>0</v>
      </c>
      <c r="H55" s="532">
        <v>0</v>
      </c>
      <c r="I55" s="536">
        <f t="shared" si="2"/>
        <v>0</v>
      </c>
    </row>
    <row r="56" spans="1:9" x14ac:dyDescent="0.15">
      <c r="A56" s="425" t="s">
        <v>580</v>
      </c>
      <c r="B56" s="499" t="s">
        <v>1282</v>
      </c>
      <c r="C56" s="138" t="s">
        <v>582</v>
      </c>
      <c r="D56" s="41">
        <v>0</v>
      </c>
      <c r="E56" s="41">
        <v>0</v>
      </c>
      <c r="F56" s="41">
        <v>0</v>
      </c>
      <c r="G56" s="41">
        <v>0</v>
      </c>
      <c r="H56" s="532">
        <v>0</v>
      </c>
      <c r="I56" s="536">
        <f t="shared" si="2"/>
        <v>0</v>
      </c>
    </row>
    <row r="57" spans="1:9" x14ac:dyDescent="0.15">
      <c r="A57" s="425" t="s">
        <v>534</v>
      </c>
      <c r="B57" s="499" t="s">
        <v>1287</v>
      </c>
      <c r="C57" s="138" t="s">
        <v>535</v>
      </c>
      <c r="D57" s="41">
        <v>0</v>
      </c>
      <c r="E57" s="41">
        <v>0</v>
      </c>
      <c r="F57" s="41">
        <v>0</v>
      </c>
      <c r="G57" s="41">
        <v>0</v>
      </c>
      <c r="H57" s="532">
        <v>0</v>
      </c>
      <c r="I57" s="536">
        <f t="shared" si="2"/>
        <v>0</v>
      </c>
    </row>
    <row r="58" spans="1:9" x14ac:dyDescent="0.15">
      <c r="A58" s="425" t="s">
        <v>98</v>
      </c>
      <c r="B58" s="499" t="s">
        <v>1288</v>
      </c>
      <c r="C58" s="138" t="s">
        <v>455</v>
      </c>
      <c r="D58" s="41">
        <v>0</v>
      </c>
      <c r="E58" s="41">
        <v>0</v>
      </c>
      <c r="F58" s="41">
        <v>0</v>
      </c>
      <c r="G58" s="41">
        <v>0</v>
      </c>
      <c r="H58" s="532">
        <v>0</v>
      </c>
      <c r="I58" s="536">
        <f t="shared" si="2"/>
        <v>0</v>
      </c>
    </row>
    <row r="59" spans="1:9" x14ac:dyDescent="0.15">
      <c r="A59" s="425" t="s">
        <v>99</v>
      </c>
      <c r="B59" s="499" t="s">
        <v>1289</v>
      </c>
      <c r="C59" s="138" t="s">
        <v>456</v>
      </c>
      <c r="D59" s="41">
        <v>0</v>
      </c>
      <c r="E59" s="41">
        <v>0</v>
      </c>
      <c r="F59" s="41">
        <v>0</v>
      </c>
      <c r="G59" s="41">
        <v>0</v>
      </c>
      <c r="H59" s="532">
        <v>0</v>
      </c>
      <c r="I59" s="536">
        <f t="shared" si="2"/>
        <v>0</v>
      </c>
    </row>
    <row r="60" spans="1:9" x14ac:dyDescent="0.15">
      <c r="A60" s="425" t="s">
        <v>100</v>
      </c>
      <c r="B60" s="499" t="s">
        <v>1290</v>
      </c>
      <c r="C60" s="138" t="s">
        <v>457</v>
      </c>
      <c r="D60" s="41">
        <v>0</v>
      </c>
      <c r="E60" s="41">
        <v>0</v>
      </c>
      <c r="F60" s="41">
        <v>0</v>
      </c>
      <c r="G60" s="41">
        <v>0</v>
      </c>
      <c r="H60" s="532">
        <v>0</v>
      </c>
      <c r="I60" s="536">
        <f t="shared" si="2"/>
        <v>0</v>
      </c>
    </row>
    <row r="61" spans="1:9" x14ac:dyDescent="0.15">
      <c r="A61" s="425" t="s">
        <v>101</v>
      </c>
      <c r="B61" s="499" t="s">
        <v>1291</v>
      </c>
      <c r="C61" s="138" t="s">
        <v>458</v>
      </c>
      <c r="D61" s="41">
        <v>0</v>
      </c>
      <c r="E61" s="41">
        <v>0</v>
      </c>
      <c r="F61" s="41">
        <v>0</v>
      </c>
      <c r="G61" s="41">
        <v>0</v>
      </c>
      <c r="H61" s="532">
        <v>0</v>
      </c>
      <c r="I61" s="536">
        <f t="shared" si="2"/>
        <v>0</v>
      </c>
    </row>
    <row r="62" spans="1:9" x14ac:dyDescent="0.15">
      <c r="A62" s="425" t="s">
        <v>102</v>
      </c>
      <c r="B62" s="499" t="s">
        <v>1292</v>
      </c>
      <c r="C62" s="138" t="s">
        <v>459</v>
      </c>
      <c r="D62" s="41">
        <v>0</v>
      </c>
      <c r="E62" s="41">
        <v>0</v>
      </c>
      <c r="F62" s="41">
        <v>0</v>
      </c>
      <c r="G62" s="41">
        <v>0</v>
      </c>
      <c r="H62" s="532">
        <v>0</v>
      </c>
      <c r="I62" s="536">
        <f t="shared" si="2"/>
        <v>0</v>
      </c>
    </row>
    <row r="63" spans="1:9" x14ac:dyDescent="0.15">
      <c r="A63" s="425" t="s">
        <v>597</v>
      </c>
      <c r="B63" s="503" t="s">
        <v>1293</v>
      </c>
      <c r="C63" s="138" t="s">
        <v>598</v>
      </c>
      <c r="D63" s="41">
        <v>0</v>
      </c>
      <c r="E63" s="41">
        <v>0</v>
      </c>
      <c r="F63" s="41">
        <v>0</v>
      </c>
      <c r="G63" s="41">
        <v>0</v>
      </c>
      <c r="H63" s="532">
        <v>0</v>
      </c>
      <c r="I63" s="536">
        <f t="shared" si="2"/>
        <v>0</v>
      </c>
    </row>
    <row r="64" spans="1:9" x14ac:dyDescent="0.15">
      <c r="A64" s="500" t="s">
        <v>761</v>
      </c>
      <c r="B64" s="499" t="s">
        <v>1294</v>
      </c>
      <c r="C64" s="138" t="s">
        <v>460</v>
      </c>
      <c r="D64" s="41">
        <v>0</v>
      </c>
      <c r="E64" s="41">
        <v>0</v>
      </c>
      <c r="F64" s="41">
        <v>0</v>
      </c>
      <c r="G64" s="41">
        <v>0</v>
      </c>
      <c r="H64" s="532">
        <v>0</v>
      </c>
      <c r="I64" s="536">
        <f t="shared" si="2"/>
        <v>0</v>
      </c>
    </row>
    <row r="65" spans="1:9" x14ac:dyDescent="0.15">
      <c r="A65" s="425" t="s">
        <v>583</v>
      </c>
      <c r="B65" s="499" t="s">
        <v>1295</v>
      </c>
      <c r="C65" s="138" t="s">
        <v>584</v>
      </c>
      <c r="D65" s="41">
        <v>0</v>
      </c>
      <c r="E65" s="41">
        <v>0</v>
      </c>
      <c r="F65" s="41">
        <v>0</v>
      </c>
      <c r="G65" s="41">
        <v>0</v>
      </c>
      <c r="H65" s="532">
        <v>0</v>
      </c>
      <c r="I65" s="536">
        <f t="shared" si="2"/>
        <v>0</v>
      </c>
    </row>
    <row r="66" spans="1:9" x14ac:dyDescent="0.15">
      <c r="A66" s="504" t="s">
        <v>114</v>
      </c>
      <c r="B66" s="499" t="s">
        <v>1296</v>
      </c>
      <c r="C66" s="138" t="s">
        <v>1345</v>
      </c>
      <c r="D66" s="41">
        <v>0</v>
      </c>
      <c r="E66" s="41">
        <v>0</v>
      </c>
      <c r="F66" s="41">
        <v>0</v>
      </c>
      <c r="G66" s="41">
        <v>0</v>
      </c>
      <c r="H66" s="532">
        <v>0</v>
      </c>
      <c r="I66" s="536">
        <f t="shared" si="2"/>
        <v>0</v>
      </c>
    </row>
    <row r="67" spans="1:9" x14ac:dyDescent="0.15">
      <c r="A67" s="425" t="s">
        <v>103</v>
      </c>
      <c r="B67" s="499" t="s">
        <v>1297</v>
      </c>
      <c r="C67" s="138" t="s">
        <v>116</v>
      </c>
      <c r="D67" s="41">
        <v>0</v>
      </c>
      <c r="E67" s="41">
        <v>0</v>
      </c>
      <c r="F67" s="41">
        <v>0</v>
      </c>
      <c r="G67" s="41">
        <v>0</v>
      </c>
      <c r="H67" s="532">
        <v>0</v>
      </c>
      <c r="I67" s="536">
        <f t="shared" si="2"/>
        <v>0</v>
      </c>
    </row>
    <row r="68" spans="1:9" x14ac:dyDescent="0.15">
      <c r="A68" s="425" t="s">
        <v>585</v>
      </c>
      <c r="B68" s="499" t="s">
        <v>1298</v>
      </c>
      <c r="C68" s="138" t="s">
        <v>586</v>
      </c>
      <c r="D68" s="41">
        <v>0</v>
      </c>
      <c r="E68" s="41">
        <v>0</v>
      </c>
      <c r="F68" s="41">
        <v>0</v>
      </c>
      <c r="G68" s="41">
        <v>0</v>
      </c>
      <c r="H68" s="532">
        <v>0</v>
      </c>
      <c r="I68" s="536">
        <f t="shared" si="2"/>
        <v>0</v>
      </c>
    </row>
    <row r="69" spans="1:9" x14ac:dyDescent="0.15">
      <c r="A69" s="425" t="s">
        <v>587</v>
      </c>
      <c r="B69" s="505" t="s">
        <v>1299</v>
      </c>
      <c r="C69" s="138" t="s">
        <v>589</v>
      </c>
      <c r="D69" s="41">
        <v>0</v>
      </c>
      <c r="E69" s="41">
        <v>0</v>
      </c>
      <c r="F69" s="41">
        <v>0</v>
      </c>
      <c r="G69" s="41">
        <v>0</v>
      </c>
      <c r="H69" s="532">
        <v>0</v>
      </c>
      <c r="I69" s="536">
        <f t="shared" si="2"/>
        <v>0</v>
      </c>
    </row>
    <row r="70" spans="1:9" x14ac:dyDescent="0.15">
      <c r="A70" s="500" t="s">
        <v>762</v>
      </c>
      <c r="B70" s="499" t="s">
        <v>1300</v>
      </c>
      <c r="C70" s="138" t="s">
        <v>461</v>
      </c>
      <c r="D70" s="41">
        <v>0</v>
      </c>
      <c r="E70" s="41">
        <v>0</v>
      </c>
      <c r="F70" s="41">
        <v>0</v>
      </c>
      <c r="G70" s="41">
        <v>0</v>
      </c>
      <c r="H70" s="532">
        <v>0</v>
      </c>
      <c r="I70" s="536">
        <f t="shared" si="2"/>
        <v>0</v>
      </c>
    </row>
    <row r="71" spans="1:9" x14ac:dyDescent="0.15">
      <c r="A71" s="500" t="s">
        <v>763</v>
      </c>
      <c r="B71" s="499" t="s">
        <v>1301</v>
      </c>
      <c r="C71" s="138" t="s">
        <v>462</v>
      </c>
      <c r="D71" s="41">
        <v>0</v>
      </c>
      <c r="E71" s="41">
        <v>0</v>
      </c>
      <c r="F71" s="41">
        <v>0</v>
      </c>
      <c r="G71" s="41">
        <v>0</v>
      </c>
      <c r="H71" s="532">
        <v>0</v>
      </c>
      <c r="I71" s="536">
        <f t="shared" si="2"/>
        <v>0</v>
      </c>
    </row>
    <row r="72" spans="1:9" x14ac:dyDescent="0.15">
      <c r="A72" s="500" t="s">
        <v>515</v>
      </c>
      <c r="B72" s="499" t="s">
        <v>1302</v>
      </c>
      <c r="C72" s="138" t="s">
        <v>519</v>
      </c>
      <c r="D72" s="41">
        <v>0</v>
      </c>
      <c r="E72" s="41">
        <v>0</v>
      </c>
      <c r="F72" s="41">
        <v>0</v>
      </c>
      <c r="G72" s="41">
        <v>0</v>
      </c>
      <c r="H72" s="532">
        <v>0</v>
      </c>
      <c r="I72" s="536">
        <f t="shared" si="2"/>
        <v>0</v>
      </c>
    </row>
    <row r="73" spans="1:9" ht="11.25" thickBot="1" x14ac:dyDescent="0.2">
      <c r="A73" s="500" t="s">
        <v>764</v>
      </c>
      <c r="B73" s="499" t="s">
        <v>1303</v>
      </c>
      <c r="C73" s="138" t="s">
        <v>572</v>
      </c>
      <c r="D73" s="143">
        <v>0</v>
      </c>
      <c r="E73" s="143">
        <v>0</v>
      </c>
      <c r="F73" s="143">
        <v>0</v>
      </c>
      <c r="G73" s="41">
        <v>0</v>
      </c>
      <c r="H73" s="533">
        <v>0</v>
      </c>
      <c r="I73" s="536">
        <f t="shared" si="2"/>
        <v>0</v>
      </c>
    </row>
    <row r="74" spans="1:9" ht="12" thickTop="1" thickBot="1" x14ac:dyDescent="0.2">
      <c r="A74" s="500"/>
      <c r="B74" s="501"/>
      <c r="C74" s="138"/>
      <c r="D74" s="199"/>
      <c r="E74" s="199"/>
      <c r="F74" s="199"/>
      <c r="G74" s="199"/>
      <c r="H74" s="199"/>
      <c r="I74" s="551"/>
    </row>
    <row r="75" spans="1:9" ht="12" thickTop="1" thickBot="1" x14ac:dyDescent="0.2">
      <c r="B75" s="499" t="s">
        <v>1304</v>
      </c>
      <c r="C75" s="138" t="s">
        <v>517</v>
      </c>
      <c r="D75" s="173">
        <f t="shared" ref="D75:I75" si="3">SUM(D51:D73)</f>
        <v>0</v>
      </c>
      <c r="E75" s="577">
        <f t="shared" si="3"/>
        <v>0</v>
      </c>
      <c r="F75" s="577">
        <f t="shared" si="3"/>
        <v>0</v>
      </c>
      <c r="G75" s="577">
        <f t="shared" si="3"/>
        <v>0</v>
      </c>
      <c r="H75" s="552">
        <f t="shared" si="3"/>
        <v>0</v>
      </c>
      <c r="I75" s="552">
        <f t="shared" si="3"/>
        <v>0</v>
      </c>
    </row>
    <row r="76" spans="1:9" ht="11.25" thickTop="1" x14ac:dyDescent="0.15">
      <c r="B76" s="506"/>
      <c r="C76" s="138"/>
      <c r="D76" s="198"/>
      <c r="E76" s="198"/>
      <c r="F76" s="198"/>
      <c r="G76" s="198"/>
      <c r="H76" s="198"/>
      <c r="I76" s="541"/>
    </row>
    <row r="77" spans="1:9" x14ac:dyDescent="0.15">
      <c r="B77" s="501"/>
      <c r="C77" s="507" t="s">
        <v>104</v>
      </c>
      <c r="I77" s="542"/>
    </row>
    <row r="78" spans="1:9" x14ac:dyDescent="0.15">
      <c r="A78" s="490" t="s">
        <v>389</v>
      </c>
      <c r="B78" s="499" t="s">
        <v>1305</v>
      </c>
      <c r="C78" s="138" t="s">
        <v>679</v>
      </c>
      <c r="D78" s="41">
        <v>0</v>
      </c>
      <c r="E78" s="41">
        <v>0</v>
      </c>
      <c r="F78" s="41">
        <v>0</v>
      </c>
      <c r="G78" s="41">
        <v>0</v>
      </c>
      <c r="H78" s="532">
        <v>0</v>
      </c>
      <c r="I78" s="536">
        <f t="shared" ref="I78:I89" si="4">SUM(G78+H78)</f>
        <v>0</v>
      </c>
    </row>
    <row r="79" spans="1:9" x14ac:dyDescent="0.15">
      <c r="A79" s="679" t="s">
        <v>682</v>
      </c>
      <c r="B79" s="680" t="s">
        <v>889</v>
      </c>
      <c r="C79" s="678" t="s">
        <v>891</v>
      </c>
      <c r="D79" s="41">
        <v>0</v>
      </c>
      <c r="E79" s="41">
        <v>0</v>
      </c>
      <c r="F79" s="41">
        <v>0</v>
      </c>
      <c r="G79" s="41">
        <v>0</v>
      </c>
      <c r="H79" s="532">
        <v>0</v>
      </c>
      <c r="I79" s="536">
        <f>SUM(G79+H79)</f>
        <v>0</v>
      </c>
    </row>
    <row r="80" spans="1:9" x14ac:dyDescent="0.15">
      <c r="A80" s="504" t="s">
        <v>682</v>
      </c>
      <c r="B80" s="499" t="s">
        <v>890</v>
      </c>
      <c r="C80" s="138" t="s">
        <v>680</v>
      </c>
      <c r="D80" s="41">
        <v>0</v>
      </c>
      <c r="E80" s="41">
        <v>0</v>
      </c>
      <c r="F80" s="41">
        <v>0</v>
      </c>
      <c r="G80" s="41">
        <v>0</v>
      </c>
      <c r="H80" s="532">
        <v>0</v>
      </c>
      <c r="I80" s="536">
        <f t="shared" si="4"/>
        <v>0</v>
      </c>
    </row>
    <row r="81" spans="1:9" x14ac:dyDescent="0.15">
      <c r="A81" s="504" t="s">
        <v>683</v>
      </c>
      <c r="B81" s="499" t="s">
        <v>1307</v>
      </c>
      <c r="C81" s="138" t="s">
        <v>681</v>
      </c>
      <c r="D81" s="41">
        <v>0</v>
      </c>
      <c r="E81" s="41">
        <v>0</v>
      </c>
      <c r="F81" s="41">
        <v>0</v>
      </c>
      <c r="G81" s="41">
        <v>0</v>
      </c>
      <c r="H81" s="532">
        <v>0</v>
      </c>
      <c r="I81" s="536">
        <f t="shared" si="4"/>
        <v>0</v>
      </c>
    </row>
    <row r="82" spans="1:9" x14ac:dyDescent="0.15">
      <c r="A82" s="490" t="s">
        <v>590</v>
      </c>
      <c r="B82" s="499" t="s">
        <v>1308</v>
      </c>
      <c r="C82" s="138" t="s">
        <v>591</v>
      </c>
      <c r="D82" s="41">
        <v>0</v>
      </c>
      <c r="E82" s="41">
        <v>0</v>
      </c>
      <c r="F82" s="41">
        <v>0</v>
      </c>
      <c r="G82" s="41">
        <v>0</v>
      </c>
      <c r="H82" s="532">
        <v>0</v>
      </c>
      <c r="I82" s="536">
        <f t="shared" si="4"/>
        <v>0</v>
      </c>
    </row>
    <row r="83" spans="1:9" x14ac:dyDescent="0.15">
      <c r="A83" s="490" t="s">
        <v>592</v>
      </c>
      <c r="B83" s="499" t="s">
        <v>1309</v>
      </c>
      <c r="C83" s="138" t="s">
        <v>593</v>
      </c>
      <c r="D83" s="41">
        <v>0</v>
      </c>
      <c r="E83" s="41">
        <v>0</v>
      </c>
      <c r="F83" s="41">
        <v>0</v>
      </c>
      <c r="G83" s="41">
        <v>0</v>
      </c>
      <c r="H83" s="532">
        <v>0</v>
      </c>
      <c r="I83" s="536">
        <f t="shared" si="4"/>
        <v>0</v>
      </c>
    </row>
    <row r="84" spans="1:9" x14ac:dyDescent="0.15">
      <c r="A84" s="504" t="s">
        <v>518</v>
      </c>
      <c r="B84" s="499" t="s">
        <v>1310</v>
      </c>
      <c r="C84" s="138" t="s">
        <v>520</v>
      </c>
      <c r="D84" s="41">
        <v>0</v>
      </c>
      <c r="E84" s="41">
        <v>0</v>
      </c>
      <c r="F84" s="41">
        <v>0</v>
      </c>
      <c r="G84" s="41">
        <v>0</v>
      </c>
      <c r="H84" s="532">
        <v>0</v>
      </c>
      <c r="I84" s="536">
        <f t="shared" si="4"/>
        <v>0</v>
      </c>
    </row>
    <row r="85" spans="1:9" x14ac:dyDescent="0.15">
      <c r="A85" s="490" t="s">
        <v>594</v>
      </c>
      <c r="B85" s="499" t="s">
        <v>1311</v>
      </c>
      <c r="C85" s="138" t="s">
        <v>595</v>
      </c>
      <c r="D85" s="41">
        <v>0</v>
      </c>
      <c r="E85" s="41">
        <v>0</v>
      </c>
      <c r="F85" s="41">
        <v>0</v>
      </c>
      <c r="G85" s="41">
        <v>0</v>
      </c>
      <c r="H85" s="532">
        <v>0</v>
      </c>
      <c r="I85" s="536">
        <f t="shared" si="4"/>
        <v>0</v>
      </c>
    </row>
    <row r="86" spans="1:9" x14ac:dyDescent="0.15">
      <c r="B86" s="508" t="s">
        <v>1312</v>
      </c>
      <c r="C86" s="138" t="s">
        <v>573</v>
      </c>
      <c r="D86" s="41">
        <v>0</v>
      </c>
      <c r="E86" s="41">
        <v>0</v>
      </c>
      <c r="F86" s="41">
        <v>0</v>
      </c>
      <c r="G86" s="41">
        <v>0</v>
      </c>
      <c r="H86" s="532">
        <v>0</v>
      </c>
      <c r="I86" s="536">
        <f t="shared" si="4"/>
        <v>0</v>
      </c>
    </row>
    <row r="87" spans="1:9" x14ac:dyDescent="0.15">
      <c r="B87" s="508" t="s">
        <v>1313</v>
      </c>
      <c r="C87" s="138" t="s">
        <v>455</v>
      </c>
      <c r="D87" s="41">
        <v>0</v>
      </c>
      <c r="E87" s="41">
        <v>0</v>
      </c>
      <c r="F87" s="41">
        <v>0</v>
      </c>
      <c r="G87" s="41">
        <v>0</v>
      </c>
      <c r="H87" s="532">
        <v>0</v>
      </c>
      <c r="I87" s="536">
        <f t="shared" si="4"/>
        <v>0</v>
      </c>
    </row>
    <row r="88" spans="1:9" x14ac:dyDescent="0.15">
      <c r="B88" s="499" t="s">
        <v>1314</v>
      </c>
      <c r="C88" s="138" t="s">
        <v>574</v>
      </c>
      <c r="D88" s="41">
        <v>0</v>
      </c>
      <c r="E88" s="41">
        <v>0</v>
      </c>
      <c r="F88" s="41">
        <v>0</v>
      </c>
      <c r="G88" s="41">
        <v>0</v>
      </c>
      <c r="H88" s="532">
        <v>0</v>
      </c>
      <c r="I88" s="536">
        <f t="shared" si="4"/>
        <v>0</v>
      </c>
    </row>
    <row r="89" spans="1:9" x14ac:dyDescent="0.15">
      <c r="B89" s="499" t="s">
        <v>1315</v>
      </c>
      <c r="C89" s="138" t="s">
        <v>575</v>
      </c>
      <c r="D89" s="41">
        <v>0</v>
      </c>
      <c r="E89" s="41">
        <v>0</v>
      </c>
      <c r="F89" s="41">
        <v>0</v>
      </c>
      <c r="G89" s="41">
        <v>0</v>
      </c>
      <c r="H89" s="532">
        <v>0</v>
      </c>
      <c r="I89" s="536">
        <f t="shared" si="4"/>
        <v>0</v>
      </c>
    </row>
    <row r="90" spans="1:9" ht="11.25" thickBot="1" x14ac:dyDescent="0.2">
      <c r="B90" s="501"/>
      <c r="C90" s="138"/>
      <c r="D90" s="14"/>
      <c r="E90" s="14"/>
      <c r="F90" s="14"/>
      <c r="G90" s="14"/>
      <c r="H90" s="14"/>
      <c r="I90" s="551"/>
    </row>
    <row r="91" spans="1:9" ht="12" thickTop="1" thickBot="1" x14ac:dyDescent="0.2">
      <c r="B91" s="499" t="s">
        <v>1316</v>
      </c>
      <c r="C91" s="138" t="s">
        <v>394</v>
      </c>
      <c r="D91" s="169">
        <f t="shared" ref="D91:I91" si="5">SUM(D78:D89)</f>
        <v>0</v>
      </c>
      <c r="E91" s="169">
        <f t="shared" si="5"/>
        <v>0</v>
      </c>
      <c r="F91" s="169">
        <f t="shared" si="5"/>
        <v>0</v>
      </c>
      <c r="G91" s="304">
        <f t="shared" si="5"/>
        <v>0</v>
      </c>
      <c r="H91" s="602">
        <f t="shared" si="5"/>
        <v>0</v>
      </c>
      <c r="I91" s="537">
        <f t="shared" si="5"/>
        <v>0</v>
      </c>
    </row>
    <row r="92" spans="1:9" ht="11.25" thickTop="1" x14ac:dyDescent="0.15">
      <c r="B92" s="501"/>
      <c r="C92" s="138"/>
      <c r="D92" s="198"/>
      <c r="E92" s="198"/>
      <c r="F92" s="198"/>
      <c r="G92" s="320"/>
      <c r="H92" s="320"/>
      <c r="I92" s="543"/>
    </row>
    <row r="93" spans="1:9" x14ac:dyDescent="0.15">
      <c r="B93" s="501"/>
      <c r="C93" s="507" t="s">
        <v>831</v>
      </c>
      <c r="D93" s="498"/>
      <c r="E93" s="498"/>
      <c r="F93" s="498"/>
      <c r="G93" s="509"/>
      <c r="H93" s="509"/>
      <c r="I93" s="544"/>
    </row>
    <row r="94" spans="1:9" x14ac:dyDescent="0.15">
      <c r="A94" s="425" t="s">
        <v>105</v>
      </c>
      <c r="B94" s="499" t="s">
        <v>1317</v>
      </c>
      <c r="C94" s="2" t="s">
        <v>1033</v>
      </c>
      <c r="D94" s="41">
        <v>0</v>
      </c>
      <c r="E94" s="41">
        <v>0</v>
      </c>
      <c r="F94" s="41">
        <v>0</v>
      </c>
      <c r="G94" s="41">
        <v>0</v>
      </c>
      <c r="H94" s="534">
        <v>0</v>
      </c>
      <c r="I94" s="535">
        <f>SUM(G94+H94)</f>
        <v>0</v>
      </c>
    </row>
    <row r="95" spans="1:9" x14ac:dyDescent="0.15">
      <c r="A95" s="425" t="s">
        <v>537</v>
      </c>
      <c r="B95" s="499" t="s">
        <v>1318</v>
      </c>
      <c r="C95" s="138" t="s">
        <v>538</v>
      </c>
      <c r="D95" s="41">
        <v>0</v>
      </c>
      <c r="E95" s="41">
        <v>0</v>
      </c>
      <c r="F95" s="41">
        <v>0</v>
      </c>
      <c r="G95" s="307">
        <v>0</v>
      </c>
      <c r="H95" s="534">
        <v>0</v>
      </c>
      <c r="I95" s="535">
        <f>SUM(G95+H95)</f>
        <v>0</v>
      </c>
    </row>
    <row r="96" spans="1:9" x14ac:dyDescent="0.15">
      <c r="A96" s="425" t="s">
        <v>536</v>
      </c>
      <c r="B96" s="499" t="s">
        <v>1319</v>
      </c>
      <c r="C96" s="138" t="s">
        <v>115</v>
      </c>
      <c r="D96" s="41">
        <v>0</v>
      </c>
      <c r="E96" s="41">
        <v>0</v>
      </c>
      <c r="F96" s="41">
        <v>0</v>
      </c>
      <c r="G96" s="307">
        <v>0</v>
      </c>
      <c r="H96" s="534">
        <v>0</v>
      </c>
      <c r="I96" s="535">
        <f>SUM(G96+H96)</f>
        <v>0</v>
      </c>
    </row>
    <row r="97" spans="1:9" ht="11.25" thickBot="1" x14ac:dyDescent="0.2">
      <c r="A97" s="490" t="s">
        <v>596</v>
      </c>
      <c r="B97" s="499" t="s">
        <v>1320</v>
      </c>
      <c r="C97" s="138" t="s">
        <v>576</v>
      </c>
      <c r="D97" s="41">
        <v>0</v>
      </c>
      <c r="E97" s="41">
        <v>0</v>
      </c>
      <c r="F97" s="41">
        <v>0</v>
      </c>
      <c r="G97" s="307">
        <v>0</v>
      </c>
      <c r="H97" s="534">
        <v>0</v>
      </c>
      <c r="I97" s="538">
        <f>SUM(G97+H97)</f>
        <v>0</v>
      </c>
    </row>
    <row r="98" spans="1:9" ht="12" thickTop="1" thickBot="1" x14ac:dyDescent="0.2">
      <c r="B98" s="499" t="s">
        <v>796</v>
      </c>
      <c r="C98" s="138" t="s">
        <v>395</v>
      </c>
      <c r="D98" s="169">
        <f t="shared" ref="D98:I98" si="6">SUM(D94:D97)</f>
        <v>0</v>
      </c>
      <c r="E98" s="169">
        <f t="shared" si="6"/>
        <v>0</v>
      </c>
      <c r="F98" s="169">
        <f t="shared" si="6"/>
        <v>0</v>
      </c>
      <c r="G98" s="304">
        <f t="shared" si="6"/>
        <v>0</v>
      </c>
      <c r="H98" s="602">
        <f t="shared" si="6"/>
        <v>0</v>
      </c>
      <c r="I98" s="537">
        <f t="shared" si="6"/>
        <v>0</v>
      </c>
    </row>
    <row r="99" spans="1:9" ht="12" thickTop="1" thickBot="1" x14ac:dyDescent="0.2">
      <c r="B99" s="501"/>
      <c r="C99" s="138"/>
      <c r="D99" s="198"/>
      <c r="E99" s="198"/>
      <c r="F99" s="198"/>
      <c r="G99" s="198"/>
      <c r="H99" s="198"/>
      <c r="I99" s="552"/>
    </row>
    <row r="100" spans="1:9" ht="22.5" thickTop="1" thickBot="1" x14ac:dyDescent="0.2">
      <c r="B100" s="499" t="s">
        <v>805</v>
      </c>
      <c r="C100" s="510" t="s">
        <v>396</v>
      </c>
      <c r="D100" s="169">
        <f t="shared" ref="D100:I100" si="7">SUM(D45+D48+D75+D91+D98)</f>
        <v>0</v>
      </c>
      <c r="E100" s="169">
        <f t="shared" si="7"/>
        <v>0</v>
      </c>
      <c r="F100" s="169">
        <f t="shared" si="7"/>
        <v>0</v>
      </c>
      <c r="G100" s="169">
        <f t="shared" si="7"/>
        <v>0</v>
      </c>
      <c r="H100" s="565">
        <f t="shared" si="7"/>
        <v>0</v>
      </c>
      <c r="I100" s="539">
        <f t="shared" si="7"/>
        <v>0</v>
      </c>
    </row>
    <row r="101" spans="1:9" ht="12" thickTop="1" thickBot="1" x14ac:dyDescent="0.2">
      <c r="B101" s="501"/>
      <c r="C101" s="138"/>
      <c r="D101" s="198"/>
      <c r="E101" s="198"/>
      <c r="F101" s="198"/>
      <c r="G101" s="198"/>
      <c r="H101" s="198"/>
      <c r="I101" s="552"/>
    </row>
    <row r="102" spans="1:9" ht="22.5" thickTop="1" thickBot="1" x14ac:dyDescent="0.2">
      <c r="B102" s="499" t="s">
        <v>398</v>
      </c>
      <c r="C102" s="510" t="s">
        <v>397</v>
      </c>
      <c r="D102" s="169">
        <f t="shared" ref="D102:I102" si="8">D100+D5</f>
        <v>0</v>
      </c>
      <c r="E102" s="169">
        <f t="shared" si="8"/>
        <v>0</v>
      </c>
      <c r="F102" s="169">
        <f t="shared" si="8"/>
        <v>0</v>
      </c>
      <c r="G102" s="169">
        <f t="shared" si="8"/>
        <v>0</v>
      </c>
      <c r="H102" s="565">
        <f t="shared" si="8"/>
        <v>0</v>
      </c>
      <c r="I102" s="539">
        <f t="shared" si="8"/>
        <v>0</v>
      </c>
    </row>
    <row r="103" spans="1:9" ht="11.25" thickTop="1" x14ac:dyDescent="0.15">
      <c r="B103" s="501"/>
      <c r="C103" s="138" t="s">
        <v>830</v>
      </c>
      <c r="D103" s="198"/>
      <c r="E103" s="198"/>
      <c r="F103" s="198"/>
      <c r="G103" s="198"/>
      <c r="H103" s="198"/>
      <c r="I103" s="553"/>
    </row>
    <row r="104" spans="1:9" x14ac:dyDescent="0.15">
      <c r="A104" s="504" t="s">
        <v>765</v>
      </c>
      <c r="B104" s="511" t="s">
        <v>399</v>
      </c>
      <c r="C104" s="651" t="s">
        <v>1225</v>
      </c>
      <c r="D104" s="41">
        <v>0</v>
      </c>
      <c r="E104" s="41">
        <v>0</v>
      </c>
      <c r="F104" s="41">
        <v>0</v>
      </c>
      <c r="G104" s="41">
        <v>0</v>
      </c>
      <c r="H104" s="532">
        <v>0</v>
      </c>
      <c r="I104" s="535">
        <f>SUM(G104+H104)</f>
        <v>0</v>
      </c>
    </row>
    <row r="105" spans="1:9" x14ac:dyDescent="0.15">
      <c r="A105" s="504" t="s">
        <v>1514</v>
      </c>
      <c r="B105" s="511" t="s">
        <v>400</v>
      </c>
      <c r="C105" s="138" t="s">
        <v>1210</v>
      </c>
      <c r="D105" s="41">
        <v>0</v>
      </c>
      <c r="E105" s="41">
        <v>0</v>
      </c>
      <c r="F105" s="41">
        <v>0</v>
      </c>
      <c r="G105" s="41">
        <v>0</v>
      </c>
      <c r="H105" s="532">
        <v>0</v>
      </c>
      <c r="I105" s="535">
        <f>SUM(G105+H105)</f>
        <v>0</v>
      </c>
    </row>
    <row r="106" spans="1:9" x14ac:dyDescent="0.15">
      <c r="A106" s="504" t="s">
        <v>684</v>
      </c>
      <c r="B106" s="511" t="s">
        <v>401</v>
      </c>
      <c r="C106" s="138" t="s">
        <v>189</v>
      </c>
      <c r="D106" s="41">
        <v>0</v>
      </c>
      <c r="E106" s="41">
        <v>0</v>
      </c>
      <c r="F106" s="41">
        <v>0</v>
      </c>
      <c r="G106" s="41">
        <v>0</v>
      </c>
      <c r="H106" s="532">
        <v>0</v>
      </c>
      <c r="I106" s="535">
        <f>SUM(G106+H106)</f>
        <v>0</v>
      </c>
    </row>
    <row r="107" spans="1:9" ht="11.25" thickBot="1" x14ac:dyDescent="0.2">
      <c r="A107" s="504"/>
      <c r="B107" s="499"/>
      <c r="C107" s="138"/>
      <c r="D107" s="14"/>
      <c r="E107" s="14"/>
      <c r="F107" s="14"/>
      <c r="G107" s="14"/>
      <c r="H107" s="14"/>
      <c r="I107" s="538"/>
    </row>
    <row r="108" spans="1:9" ht="12" thickTop="1" thickBot="1" x14ac:dyDescent="0.2">
      <c r="A108" s="504"/>
      <c r="B108" s="511" t="s">
        <v>402</v>
      </c>
      <c r="C108" s="138" t="s">
        <v>1</v>
      </c>
      <c r="D108" s="169">
        <f t="shared" ref="D108:I108" si="9">SUM(D104:D106)</f>
        <v>0</v>
      </c>
      <c r="E108" s="169">
        <f t="shared" si="9"/>
        <v>0</v>
      </c>
      <c r="F108" s="169">
        <f t="shared" si="9"/>
        <v>0</v>
      </c>
      <c r="G108" s="169">
        <f t="shared" si="9"/>
        <v>0</v>
      </c>
      <c r="H108" s="565">
        <f t="shared" si="9"/>
        <v>0</v>
      </c>
      <c r="I108" s="537">
        <f t="shared" si="9"/>
        <v>0</v>
      </c>
    </row>
    <row r="109" spans="1:9" ht="12" thickTop="1" thickBot="1" x14ac:dyDescent="0.2">
      <c r="A109" s="504"/>
      <c r="B109" s="501"/>
      <c r="C109" s="138"/>
      <c r="D109" s="14"/>
      <c r="E109" s="14"/>
      <c r="F109" s="14"/>
      <c r="G109" s="14"/>
      <c r="H109" s="14"/>
      <c r="I109" s="554"/>
    </row>
    <row r="110" spans="1:9" ht="11.25" thickBot="1" x14ac:dyDescent="0.2">
      <c r="B110" s="511" t="s">
        <v>403</v>
      </c>
      <c r="C110" s="512" t="s">
        <v>405</v>
      </c>
      <c r="D110" s="171">
        <f t="shared" ref="D110:I110" si="10">D102-D108</f>
        <v>0</v>
      </c>
      <c r="E110" s="171">
        <f t="shared" si="10"/>
        <v>0</v>
      </c>
      <c r="F110" s="171">
        <f t="shared" si="10"/>
        <v>0</v>
      </c>
      <c r="G110" s="171">
        <f t="shared" si="10"/>
        <v>0</v>
      </c>
      <c r="H110" s="604">
        <f t="shared" si="10"/>
        <v>0</v>
      </c>
      <c r="I110" s="212">
        <f t="shared" si="10"/>
        <v>0</v>
      </c>
    </row>
    <row r="111" spans="1:9" x14ac:dyDescent="0.15">
      <c r="I111" s="540"/>
    </row>
    <row r="112" spans="1:9" x14ac:dyDescent="0.15">
      <c r="A112" s="660" t="s">
        <v>824</v>
      </c>
      <c r="C112" s="495" t="s">
        <v>816</v>
      </c>
      <c r="I112" s="179"/>
    </row>
    <row r="113" spans="1:9" x14ac:dyDescent="0.15">
      <c r="A113" s="436" t="s">
        <v>105</v>
      </c>
      <c r="B113" s="499" t="s">
        <v>818</v>
      </c>
      <c r="C113" s="2" t="s">
        <v>827</v>
      </c>
      <c r="D113" s="41">
        <v>0</v>
      </c>
      <c r="E113" s="41">
        <v>0</v>
      </c>
      <c r="F113" s="41">
        <v>0</v>
      </c>
      <c r="G113" s="41">
        <v>0</v>
      </c>
      <c r="H113" s="534">
        <v>0</v>
      </c>
      <c r="I113" s="535">
        <f>SUM(G113+H113)</f>
        <v>0</v>
      </c>
    </row>
    <row r="115" spans="1:9" x14ac:dyDescent="0.15">
      <c r="A115" s="660" t="s">
        <v>825</v>
      </c>
      <c r="C115" s="495" t="s">
        <v>817</v>
      </c>
    </row>
    <row r="116" spans="1:9" x14ac:dyDescent="0.15">
      <c r="A116" s="660"/>
      <c r="C116" s="423" t="s">
        <v>0</v>
      </c>
    </row>
    <row r="117" spans="1:9" x14ac:dyDescent="0.15">
      <c r="A117" s="689" t="s">
        <v>765</v>
      </c>
      <c r="B117" s="511" t="s">
        <v>819</v>
      </c>
      <c r="C117" s="651" t="s">
        <v>1225</v>
      </c>
      <c r="D117" s="41">
        <v>0</v>
      </c>
      <c r="E117" s="41">
        <v>0</v>
      </c>
      <c r="F117" s="41">
        <v>0</v>
      </c>
      <c r="G117" s="41">
        <v>0</v>
      </c>
      <c r="H117" s="532">
        <v>0</v>
      </c>
      <c r="I117" s="535">
        <f>SUM(G117+H117)</f>
        <v>0</v>
      </c>
    </row>
    <row r="118" spans="1:9" x14ac:dyDescent="0.15">
      <c r="A118" s="689" t="s">
        <v>1514</v>
      </c>
      <c r="B118" s="511" t="s">
        <v>820</v>
      </c>
      <c r="C118" s="138" t="s">
        <v>1210</v>
      </c>
      <c r="D118" s="41">
        <v>0</v>
      </c>
      <c r="E118" s="41">
        <v>0</v>
      </c>
      <c r="F118" s="41">
        <v>0</v>
      </c>
      <c r="G118" s="41">
        <v>0</v>
      </c>
      <c r="H118" s="532">
        <v>0</v>
      </c>
      <c r="I118" s="535">
        <f>SUM(G118+H118)</f>
        <v>0</v>
      </c>
    </row>
    <row r="119" spans="1:9" x14ac:dyDescent="0.15">
      <c r="A119" s="689" t="s">
        <v>684</v>
      </c>
      <c r="B119" s="511" t="s">
        <v>821</v>
      </c>
      <c r="C119" s="138" t="s">
        <v>189</v>
      </c>
      <c r="D119" s="41">
        <v>0</v>
      </c>
      <c r="E119" s="41">
        <v>0</v>
      </c>
      <c r="F119" s="41">
        <v>0</v>
      </c>
      <c r="G119" s="41">
        <v>0</v>
      </c>
      <c r="H119" s="532">
        <v>0</v>
      </c>
      <c r="I119" s="535">
        <f>SUM(G119+H119)</f>
        <v>0</v>
      </c>
    </row>
    <row r="121" spans="1:9" x14ac:dyDescent="0.15">
      <c r="B121" s="423" t="s">
        <v>826</v>
      </c>
    </row>
    <row r="123" spans="1:9" x14ac:dyDescent="0.15">
      <c r="A123" s="662" t="s">
        <v>828</v>
      </c>
      <c r="B123" s="424" t="s">
        <v>829</v>
      </c>
    </row>
  </sheetData>
  <sheetProtection formatCells="0" formatColumns="0" formatRows="0"/>
  <phoneticPr fontId="15" type="noConversion"/>
  <pageMargins left="0.75" right="0.75" top="1" bottom="1" header="0.5" footer="0.5"/>
  <pageSetup scale="58" firstPageNumber="2" fitToHeight="0" orientation="portrait" horizontalDpi="300" verticalDpi="300" r:id="rId1"/>
  <headerFooter alignWithMargins="0">
    <oddFooter>&amp;LCDE, Public Scool Finance Unit&amp;C&amp;P&amp;RRevised March, 2009</oddFooter>
  </headerFooter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3"/>
  <sheetViews>
    <sheetView zoomScaleNormal="100" workbookViewId="0">
      <selection activeCell="I5" sqref="I5"/>
    </sheetView>
  </sheetViews>
  <sheetFormatPr defaultRowHeight="10.5" x14ac:dyDescent="0.15"/>
  <cols>
    <col min="1" max="1" width="4.83203125" style="423" customWidth="1"/>
    <col min="2" max="2" width="21.83203125" style="423" customWidth="1"/>
    <col min="3" max="3" width="58" style="423" bestFit="1" customWidth="1"/>
    <col min="4" max="4" width="15.83203125" style="423" customWidth="1"/>
    <col min="5" max="5" width="17" style="423" customWidth="1"/>
    <col min="6" max="6" width="17.33203125" style="423" customWidth="1"/>
    <col min="7" max="7" width="18.33203125" style="423" customWidth="1"/>
    <col min="8" max="9" width="20.33203125" style="423" customWidth="1"/>
    <col min="10" max="10" width="21.33203125" style="434" customWidth="1"/>
    <col min="11" max="16384" width="9.33203125" style="423"/>
  </cols>
  <sheetData>
    <row r="1" spans="1:10" x14ac:dyDescent="0.15">
      <c r="A1" s="423" t="s">
        <v>106</v>
      </c>
      <c r="C1" s="138">
        <f>+'Page 1 - FY2014-15'!B5</f>
        <v>0</v>
      </c>
      <c r="D1" s="423" t="s">
        <v>1586</v>
      </c>
      <c r="E1" s="428">
        <f>+'Page 1 - FY2014-15'!F7</f>
        <v>0</v>
      </c>
      <c r="G1" s="485" t="s">
        <v>1588</v>
      </c>
    </row>
    <row r="2" spans="1:10" ht="12.75" x14ac:dyDescent="0.2">
      <c r="A2" s="514" t="s">
        <v>109</v>
      </c>
      <c r="B2" s="515"/>
      <c r="H2" s="485"/>
      <c r="I2" s="485"/>
    </row>
    <row r="3" spans="1:10" x14ac:dyDescent="0.15">
      <c r="A3" s="515"/>
      <c r="B3" s="515"/>
      <c r="G3" s="485"/>
      <c r="H3" s="485"/>
      <c r="I3" s="485"/>
    </row>
    <row r="4" spans="1:10" ht="35.25" customHeight="1" x14ac:dyDescent="0.15">
      <c r="A4" s="515"/>
      <c r="B4" s="515"/>
      <c r="D4" s="686" t="s">
        <v>1701</v>
      </c>
      <c r="E4" s="686" t="s">
        <v>1702</v>
      </c>
      <c r="F4" s="686" t="s">
        <v>1703</v>
      </c>
      <c r="G4" s="686" t="s">
        <v>1704</v>
      </c>
      <c r="H4" s="686" t="s">
        <v>1705</v>
      </c>
      <c r="I4" s="686" t="s">
        <v>1706</v>
      </c>
    </row>
    <row r="5" spans="1:10" ht="54.75" customHeight="1" x14ac:dyDescent="0.15">
      <c r="A5" s="515"/>
      <c r="B5" s="515"/>
      <c r="D5" s="491"/>
      <c r="E5" s="491"/>
      <c r="F5" s="491"/>
      <c r="G5" s="491"/>
      <c r="H5" s="492" t="s">
        <v>193</v>
      </c>
      <c r="I5" s="492" t="s">
        <v>192</v>
      </c>
    </row>
    <row r="6" spans="1:10" x14ac:dyDescent="0.15">
      <c r="A6" s="515"/>
      <c r="B6" s="515"/>
      <c r="G6" s="485"/>
      <c r="H6" s="485"/>
      <c r="I6" s="485"/>
    </row>
    <row r="7" spans="1:10" x14ac:dyDescent="0.15">
      <c r="A7" s="515"/>
      <c r="B7" s="515"/>
      <c r="G7" s="485"/>
      <c r="H7" s="485"/>
      <c r="I7" s="485"/>
    </row>
    <row r="8" spans="1:10" x14ac:dyDescent="0.15">
      <c r="A8" s="507" t="s">
        <v>117</v>
      </c>
      <c r="D8" s="516"/>
      <c r="E8" s="516"/>
      <c r="F8" s="517"/>
      <c r="G8" s="516"/>
    </row>
    <row r="9" spans="1:10" s="518" customFormat="1" x14ac:dyDescent="0.15">
      <c r="B9" s="519" t="s">
        <v>739</v>
      </c>
      <c r="E9" s="146"/>
      <c r="F9" s="146"/>
      <c r="G9" s="145"/>
      <c r="I9" s="530"/>
      <c r="J9" s="520"/>
    </row>
    <row r="10" spans="1:10" x14ac:dyDescent="0.15">
      <c r="A10" s="512" t="s">
        <v>69</v>
      </c>
      <c r="I10" s="167"/>
    </row>
    <row r="11" spans="1:10" s="434" customFormat="1" x14ac:dyDescent="0.15">
      <c r="B11" s="523" t="s">
        <v>1577</v>
      </c>
      <c r="C11" s="524" t="s">
        <v>228</v>
      </c>
      <c r="D11" s="316">
        <v>0</v>
      </c>
      <c r="E11" s="316">
        <v>0</v>
      </c>
      <c r="F11" s="316">
        <v>0</v>
      </c>
      <c r="G11" s="528">
        <f t="array" ref="G11">SUM(IF(CertFund&amp;CertProg&amp;CertObj=RIGHT(LEFT($A$2,7),2)&amp;LEFT(A10,4)&amp;B11,CertSalary))</f>
        <v>0</v>
      </c>
      <c r="H11" s="527">
        <v>0</v>
      </c>
      <c r="I11" s="566">
        <f>SUM(G11+H11)</f>
        <v>0</v>
      </c>
    </row>
    <row r="12" spans="1:10" s="434" customFormat="1" x14ac:dyDescent="0.15">
      <c r="B12" s="523" t="s">
        <v>1577</v>
      </c>
      <c r="C12" s="524" t="s">
        <v>510</v>
      </c>
      <c r="D12" s="316">
        <v>0</v>
      </c>
      <c r="E12" s="316">
        <v>0</v>
      </c>
      <c r="F12" s="316">
        <v>0</v>
      </c>
      <c r="G12" s="316">
        <v>0</v>
      </c>
      <c r="H12" s="527">
        <v>0</v>
      </c>
      <c r="I12" s="566">
        <f>SUM(G12+H12)</f>
        <v>0</v>
      </c>
    </row>
    <row r="13" spans="1:10" s="434" customFormat="1" x14ac:dyDescent="0.15">
      <c r="A13" s="524"/>
      <c r="B13" s="523" t="s">
        <v>1578</v>
      </c>
      <c r="C13" s="524" t="s">
        <v>936</v>
      </c>
      <c r="D13" s="316">
        <v>0</v>
      </c>
      <c r="E13" s="316">
        <v>0</v>
      </c>
      <c r="F13" s="316">
        <v>0</v>
      </c>
      <c r="G13" s="529">
        <f t="array" ref="G13">SUM(IF(CertFund&amp;CertProg&amp;CertObj=RIGHT(LEFT($A$2,7),2)&amp;LEFT(A10,4)&amp;B11,CertBen))</f>
        <v>0</v>
      </c>
      <c r="H13" s="527">
        <v>0</v>
      </c>
      <c r="I13" s="566">
        <f t="shared" ref="I13:I44" si="0">SUM(G13+H13)</f>
        <v>0</v>
      </c>
    </row>
    <row r="14" spans="1:10" x14ac:dyDescent="0.15">
      <c r="A14" s="138"/>
      <c r="B14" s="521" t="s">
        <v>1578</v>
      </c>
      <c r="C14" s="138" t="s">
        <v>511</v>
      </c>
      <c r="D14" s="147">
        <v>0</v>
      </c>
      <c r="E14" s="147">
        <v>0</v>
      </c>
      <c r="F14" s="147">
        <v>0</v>
      </c>
      <c r="G14" s="147">
        <v>0</v>
      </c>
      <c r="H14" s="150">
        <v>0</v>
      </c>
      <c r="I14" s="567">
        <f>SUM(G14+H14)</f>
        <v>0</v>
      </c>
    </row>
    <row r="15" spans="1:10" x14ac:dyDescent="0.15">
      <c r="A15" s="138"/>
      <c r="B15" s="521" t="s">
        <v>1579</v>
      </c>
      <c r="C15" s="138" t="s">
        <v>118</v>
      </c>
      <c r="D15" s="147">
        <v>0</v>
      </c>
      <c r="E15" s="147">
        <v>0</v>
      </c>
      <c r="F15" s="147">
        <v>0</v>
      </c>
      <c r="G15" s="147">
        <v>0</v>
      </c>
      <c r="H15" s="150">
        <v>0</v>
      </c>
      <c r="I15" s="567">
        <f t="shared" si="0"/>
        <v>0</v>
      </c>
    </row>
    <row r="16" spans="1:10" x14ac:dyDescent="0.15">
      <c r="A16" s="138"/>
      <c r="B16" s="521" t="s">
        <v>1580</v>
      </c>
      <c r="C16" s="138" t="s">
        <v>119</v>
      </c>
      <c r="D16" s="147">
        <v>0</v>
      </c>
      <c r="E16" s="147">
        <v>0</v>
      </c>
      <c r="F16" s="147">
        <v>0</v>
      </c>
      <c r="G16" s="147">
        <v>0</v>
      </c>
      <c r="H16" s="150">
        <v>0</v>
      </c>
      <c r="I16" s="567">
        <f t="shared" si="0"/>
        <v>0</v>
      </c>
    </row>
    <row r="17" spans="1:9" x14ac:dyDescent="0.15">
      <c r="A17" s="138"/>
      <c r="B17" s="521" t="s">
        <v>120</v>
      </c>
      <c r="C17" s="138" t="s">
        <v>121</v>
      </c>
      <c r="D17" s="147">
        <v>0</v>
      </c>
      <c r="E17" s="147">
        <v>0</v>
      </c>
      <c r="F17" s="147">
        <v>0</v>
      </c>
      <c r="G17" s="147">
        <v>0</v>
      </c>
      <c r="H17" s="150">
        <v>0</v>
      </c>
      <c r="I17" s="567">
        <f t="shared" si="0"/>
        <v>0</v>
      </c>
    </row>
    <row r="18" spans="1:9" x14ac:dyDescent="0.15">
      <c r="A18" s="138"/>
      <c r="B18" s="521" t="s">
        <v>122</v>
      </c>
      <c r="C18" s="138" t="s">
        <v>123</v>
      </c>
      <c r="D18" s="147">
        <v>0</v>
      </c>
      <c r="E18" s="147">
        <v>0</v>
      </c>
      <c r="F18" s="147">
        <v>0</v>
      </c>
      <c r="G18" s="147">
        <v>0</v>
      </c>
      <c r="H18" s="150">
        <v>0</v>
      </c>
      <c r="I18" s="567">
        <f t="shared" si="0"/>
        <v>0</v>
      </c>
    </row>
    <row r="19" spans="1:9" x14ac:dyDescent="0.15">
      <c r="A19" s="138"/>
      <c r="B19" s="521" t="s">
        <v>1581</v>
      </c>
      <c r="C19" s="138" t="s">
        <v>124</v>
      </c>
      <c r="D19" s="147">
        <v>0</v>
      </c>
      <c r="E19" s="147">
        <v>0</v>
      </c>
      <c r="F19" s="147">
        <v>0</v>
      </c>
      <c r="G19" s="147">
        <v>0</v>
      </c>
      <c r="H19" s="150">
        <v>0</v>
      </c>
      <c r="I19" s="567">
        <f t="shared" si="0"/>
        <v>0</v>
      </c>
    </row>
    <row r="20" spans="1:9" x14ac:dyDescent="0.15">
      <c r="A20" s="138"/>
      <c r="B20" s="521" t="s">
        <v>127</v>
      </c>
      <c r="C20" s="138" t="s">
        <v>134</v>
      </c>
      <c r="D20" s="147">
        <v>0</v>
      </c>
      <c r="E20" s="147">
        <v>0</v>
      </c>
      <c r="F20" s="147">
        <v>0</v>
      </c>
      <c r="G20" s="147">
        <v>0</v>
      </c>
      <c r="H20" s="150">
        <v>0</v>
      </c>
      <c r="I20" s="567">
        <f t="shared" si="0"/>
        <v>0</v>
      </c>
    </row>
    <row r="21" spans="1:9" x14ac:dyDescent="0.15">
      <c r="A21" s="138"/>
      <c r="B21" s="521" t="s">
        <v>132</v>
      </c>
      <c r="C21" s="138" t="s">
        <v>1617</v>
      </c>
      <c r="D21" s="147">
        <v>0</v>
      </c>
      <c r="E21" s="147">
        <v>0</v>
      </c>
      <c r="F21" s="147">
        <v>0</v>
      </c>
      <c r="G21" s="147">
        <v>0</v>
      </c>
      <c r="H21" s="150">
        <v>0</v>
      </c>
      <c r="I21" s="567">
        <f t="shared" si="0"/>
        <v>0</v>
      </c>
    </row>
    <row r="22" spans="1:9" x14ac:dyDescent="0.15">
      <c r="A22" s="138"/>
      <c r="B22" s="521" t="s">
        <v>1618</v>
      </c>
      <c r="C22" s="138" t="s">
        <v>836</v>
      </c>
      <c r="D22" s="147">
        <v>0</v>
      </c>
      <c r="E22" s="147">
        <v>0</v>
      </c>
      <c r="F22" s="147">
        <v>0</v>
      </c>
      <c r="G22" s="147">
        <v>0</v>
      </c>
      <c r="H22" s="150">
        <v>0</v>
      </c>
      <c r="I22" s="567">
        <f t="shared" si="0"/>
        <v>0</v>
      </c>
    </row>
    <row r="23" spans="1:9" x14ac:dyDescent="0.15">
      <c r="A23" s="138"/>
      <c r="B23" s="521" t="s">
        <v>1619</v>
      </c>
      <c r="C23" s="138" t="s">
        <v>185</v>
      </c>
      <c r="D23" s="147">
        <v>0</v>
      </c>
      <c r="E23" s="147">
        <v>0</v>
      </c>
      <c r="F23" s="147">
        <v>0</v>
      </c>
      <c r="G23" s="147">
        <v>0</v>
      </c>
      <c r="H23" s="150">
        <v>0</v>
      </c>
      <c r="I23" s="567">
        <f t="shared" si="0"/>
        <v>0</v>
      </c>
    </row>
    <row r="24" spans="1:9" x14ac:dyDescent="0.15">
      <c r="A24" s="138"/>
      <c r="B24" s="521" t="s">
        <v>1620</v>
      </c>
      <c r="C24" s="138" t="s">
        <v>838</v>
      </c>
      <c r="D24" s="147">
        <v>0</v>
      </c>
      <c r="E24" s="147">
        <v>0</v>
      </c>
      <c r="F24" s="147">
        <v>0</v>
      </c>
      <c r="G24" s="147">
        <v>0</v>
      </c>
      <c r="H24" s="150">
        <v>0</v>
      </c>
      <c r="I24" s="567">
        <f t="shared" si="0"/>
        <v>0</v>
      </c>
    </row>
    <row r="25" spans="1:9" x14ac:dyDescent="0.15">
      <c r="A25" s="138"/>
      <c r="B25" s="521" t="s">
        <v>1621</v>
      </c>
      <c r="C25" s="138" t="s">
        <v>839</v>
      </c>
      <c r="D25" s="147">
        <v>0</v>
      </c>
      <c r="E25" s="147">
        <v>0</v>
      </c>
      <c r="F25" s="147">
        <v>0</v>
      </c>
      <c r="G25" s="147">
        <v>0</v>
      </c>
      <c r="H25" s="150">
        <v>0</v>
      </c>
      <c r="I25" s="567">
        <f t="shared" si="0"/>
        <v>0</v>
      </c>
    </row>
    <row r="26" spans="1:9" x14ac:dyDescent="0.15">
      <c r="A26" s="138"/>
      <c r="B26" s="521" t="s">
        <v>1622</v>
      </c>
      <c r="C26" s="138" t="s">
        <v>190</v>
      </c>
      <c r="D26" s="147">
        <v>0</v>
      </c>
      <c r="E26" s="147">
        <v>0</v>
      </c>
      <c r="F26" s="147">
        <v>0</v>
      </c>
      <c r="G26" s="147">
        <v>0</v>
      </c>
      <c r="H26" s="150">
        <v>0</v>
      </c>
      <c r="I26" s="567">
        <f t="shared" si="0"/>
        <v>0</v>
      </c>
    </row>
    <row r="27" spans="1:9" x14ac:dyDescent="0.15">
      <c r="A27" s="138"/>
      <c r="B27" s="521" t="s">
        <v>1623</v>
      </c>
      <c r="C27" s="138" t="s">
        <v>191</v>
      </c>
      <c r="D27" s="147">
        <v>0</v>
      </c>
      <c r="E27" s="147">
        <v>0</v>
      </c>
      <c r="F27" s="147">
        <v>0</v>
      </c>
      <c r="G27" s="147">
        <v>0</v>
      </c>
      <c r="H27" s="150">
        <v>0</v>
      </c>
      <c r="I27" s="567">
        <f t="shared" si="0"/>
        <v>0</v>
      </c>
    </row>
    <row r="28" spans="1:9" x14ac:dyDescent="0.15">
      <c r="A28" s="138"/>
      <c r="B28" s="521" t="s">
        <v>1624</v>
      </c>
      <c r="C28" s="138" t="s">
        <v>840</v>
      </c>
      <c r="D28" s="147">
        <v>0</v>
      </c>
      <c r="E28" s="147">
        <v>0</v>
      </c>
      <c r="F28" s="147">
        <v>0</v>
      </c>
      <c r="G28" s="147">
        <v>0</v>
      </c>
      <c r="H28" s="150">
        <v>0</v>
      </c>
      <c r="I28" s="567">
        <f t="shared" si="0"/>
        <v>0</v>
      </c>
    </row>
    <row r="29" spans="1:9" x14ac:dyDescent="0.15">
      <c r="A29" s="138"/>
      <c r="B29" s="521" t="s">
        <v>1625</v>
      </c>
      <c r="C29" s="138" t="s">
        <v>842</v>
      </c>
      <c r="D29" s="147">
        <v>0</v>
      </c>
      <c r="E29" s="147">
        <v>0</v>
      </c>
      <c r="F29" s="147">
        <v>0</v>
      </c>
      <c r="G29" s="147">
        <v>0</v>
      </c>
      <c r="H29" s="150">
        <v>0</v>
      </c>
      <c r="I29" s="567">
        <f t="shared" si="0"/>
        <v>0</v>
      </c>
    </row>
    <row r="30" spans="1:9" x14ac:dyDescent="0.15">
      <c r="A30" s="138"/>
      <c r="B30" s="521" t="s">
        <v>843</v>
      </c>
      <c r="C30" s="138" t="s">
        <v>848</v>
      </c>
      <c r="D30" s="147">
        <v>0</v>
      </c>
      <c r="E30" s="147">
        <v>0</v>
      </c>
      <c r="F30" s="147">
        <v>0</v>
      </c>
      <c r="G30" s="147">
        <v>0</v>
      </c>
      <c r="H30" s="150">
        <v>0</v>
      </c>
      <c r="I30" s="567">
        <f t="shared" si="0"/>
        <v>0</v>
      </c>
    </row>
    <row r="31" spans="1:9" x14ac:dyDescent="0.15">
      <c r="A31" s="138"/>
      <c r="B31" s="521" t="s">
        <v>844</v>
      </c>
      <c r="C31" s="138" t="s">
        <v>186</v>
      </c>
      <c r="D31" s="147">
        <v>0</v>
      </c>
      <c r="E31" s="147">
        <v>0</v>
      </c>
      <c r="F31" s="147">
        <v>0</v>
      </c>
      <c r="G31" s="147">
        <v>0</v>
      </c>
      <c r="H31" s="150">
        <v>0</v>
      </c>
      <c r="I31" s="567">
        <f t="shared" si="0"/>
        <v>0</v>
      </c>
    </row>
    <row r="32" spans="1:9" x14ac:dyDescent="0.15">
      <c r="A32" s="138"/>
      <c r="B32" s="521" t="s">
        <v>845</v>
      </c>
      <c r="C32" s="138" t="s">
        <v>154</v>
      </c>
      <c r="D32" s="147">
        <v>0</v>
      </c>
      <c r="E32" s="147">
        <v>0</v>
      </c>
      <c r="F32" s="147">
        <v>0</v>
      </c>
      <c r="G32" s="147">
        <v>0</v>
      </c>
      <c r="H32" s="150">
        <v>0</v>
      </c>
      <c r="I32" s="567">
        <f t="shared" si="0"/>
        <v>0</v>
      </c>
    </row>
    <row r="33" spans="1:9" x14ac:dyDescent="0.15">
      <c r="A33" s="138"/>
      <c r="B33" s="521" t="s">
        <v>846</v>
      </c>
      <c r="C33" s="138" t="s">
        <v>155</v>
      </c>
      <c r="D33" s="147">
        <v>0</v>
      </c>
      <c r="E33" s="147">
        <v>0</v>
      </c>
      <c r="F33" s="147">
        <v>0</v>
      </c>
      <c r="G33" s="147">
        <v>0</v>
      </c>
      <c r="H33" s="150">
        <v>0</v>
      </c>
      <c r="I33" s="567">
        <f t="shared" si="0"/>
        <v>0</v>
      </c>
    </row>
    <row r="34" spans="1:9" x14ac:dyDescent="0.15">
      <c r="A34" s="138"/>
      <c r="B34" s="521" t="s">
        <v>1582</v>
      </c>
      <c r="C34" s="138" t="s">
        <v>156</v>
      </c>
      <c r="D34" s="147">
        <v>0</v>
      </c>
      <c r="E34" s="147">
        <v>0</v>
      </c>
      <c r="F34" s="147">
        <v>0</v>
      </c>
      <c r="G34" s="147">
        <v>0</v>
      </c>
      <c r="H34" s="150">
        <v>0</v>
      </c>
      <c r="I34" s="567">
        <f t="shared" si="0"/>
        <v>0</v>
      </c>
    </row>
    <row r="35" spans="1:9" x14ac:dyDescent="0.15">
      <c r="A35" s="138"/>
      <c r="B35" s="521" t="s">
        <v>847</v>
      </c>
      <c r="C35" s="138" t="s">
        <v>157</v>
      </c>
      <c r="D35" s="147">
        <v>0</v>
      </c>
      <c r="E35" s="147">
        <v>0</v>
      </c>
      <c r="F35" s="147">
        <v>0</v>
      </c>
      <c r="G35" s="147">
        <v>0</v>
      </c>
      <c r="H35" s="150">
        <v>0</v>
      </c>
      <c r="I35" s="567">
        <f t="shared" si="0"/>
        <v>0</v>
      </c>
    </row>
    <row r="36" spans="1:9" x14ac:dyDescent="0.15">
      <c r="A36" s="138"/>
      <c r="B36" s="521" t="s">
        <v>1583</v>
      </c>
      <c r="C36" s="138" t="s">
        <v>160</v>
      </c>
      <c r="D36" s="147">
        <v>0</v>
      </c>
      <c r="E36" s="147">
        <v>0</v>
      </c>
      <c r="F36" s="147">
        <v>0</v>
      </c>
      <c r="G36" s="147">
        <v>0</v>
      </c>
      <c r="H36" s="150">
        <v>0</v>
      </c>
      <c r="I36" s="567">
        <f t="shared" si="0"/>
        <v>0</v>
      </c>
    </row>
    <row r="37" spans="1:9" x14ac:dyDescent="0.15">
      <c r="A37" s="138"/>
      <c r="B37" s="521" t="s">
        <v>634</v>
      </c>
      <c r="C37" s="138" t="s">
        <v>165</v>
      </c>
      <c r="D37" s="147">
        <v>0</v>
      </c>
      <c r="E37" s="147">
        <v>0</v>
      </c>
      <c r="F37" s="147">
        <v>0</v>
      </c>
      <c r="G37" s="147">
        <v>0</v>
      </c>
      <c r="H37" s="150">
        <v>0</v>
      </c>
      <c r="I37" s="567">
        <f t="shared" si="0"/>
        <v>0</v>
      </c>
    </row>
    <row r="38" spans="1:9" x14ac:dyDescent="0.15">
      <c r="A38" s="138"/>
      <c r="B38" s="521" t="s">
        <v>630</v>
      </c>
      <c r="C38" s="138" t="s">
        <v>172</v>
      </c>
      <c r="D38" s="147">
        <v>0</v>
      </c>
      <c r="E38" s="147">
        <v>0</v>
      </c>
      <c r="F38" s="147">
        <v>0</v>
      </c>
      <c r="G38" s="147">
        <v>0</v>
      </c>
      <c r="H38" s="150">
        <v>0</v>
      </c>
      <c r="I38" s="567">
        <f t="shared" si="0"/>
        <v>0</v>
      </c>
    </row>
    <row r="39" spans="1:9" x14ac:dyDescent="0.15">
      <c r="A39" s="138"/>
      <c r="B39" s="650" t="s">
        <v>631</v>
      </c>
      <c r="C39" s="651" t="s">
        <v>173</v>
      </c>
      <c r="D39" s="147">
        <v>0</v>
      </c>
      <c r="E39" s="147">
        <v>0</v>
      </c>
      <c r="F39" s="147">
        <v>0</v>
      </c>
      <c r="G39" s="147">
        <v>0</v>
      </c>
      <c r="H39" s="150">
        <v>0</v>
      </c>
      <c r="I39" s="567">
        <f t="shared" si="0"/>
        <v>0</v>
      </c>
    </row>
    <row r="40" spans="1:9" x14ac:dyDescent="0.15">
      <c r="A40" s="138"/>
      <c r="B40" s="521" t="s">
        <v>1584</v>
      </c>
      <c r="C40" s="138" t="s">
        <v>178</v>
      </c>
      <c r="D40" s="147">
        <v>0</v>
      </c>
      <c r="E40" s="147">
        <v>0</v>
      </c>
      <c r="F40" s="147">
        <v>0</v>
      </c>
      <c r="G40" s="147">
        <v>0</v>
      </c>
      <c r="H40" s="150">
        <v>0</v>
      </c>
      <c r="I40" s="567">
        <f t="shared" si="0"/>
        <v>0</v>
      </c>
    </row>
    <row r="41" spans="1:9" x14ac:dyDescent="0.15">
      <c r="A41" s="138"/>
      <c r="B41" s="521" t="s">
        <v>174</v>
      </c>
      <c r="C41" s="138" t="s">
        <v>179</v>
      </c>
      <c r="D41" s="147">
        <v>0</v>
      </c>
      <c r="E41" s="147">
        <v>0</v>
      </c>
      <c r="F41" s="147">
        <v>0</v>
      </c>
      <c r="G41" s="147">
        <v>0</v>
      </c>
      <c r="H41" s="150">
        <v>0</v>
      </c>
      <c r="I41" s="567">
        <f t="shared" si="0"/>
        <v>0</v>
      </c>
    </row>
    <row r="42" spans="1:9" x14ac:dyDescent="0.15">
      <c r="A42" s="138"/>
      <c r="B42" s="521" t="s">
        <v>175</v>
      </c>
      <c r="C42" s="138" t="s">
        <v>180</v>
      </c>
      <c r="D42" s="147">
        <v>0</v>
      </c>
      <c r="E42" s="147">
        <v>0</v>
      </c>
      <c r="F42" s="147">
        <v>0</v>
      </c>
      <c r="G42" s="147">
        <v>0</v>
      </c>
      <c r="H42" s="150">
        <v>0</v>
      </c>
      <c r="I42" s="567">
        <f t="shared" si="0"/>
        <v>0</v>
      </c>
    </row>
    <row r="43" spans="1:9" ht="11.25" thickBot="1" x14ac:dyDescent="0.2">
      <c r="A43" s="138"/>
      <c r="B43" s="521" t="s">
        <v>176</v>
      </c>
      <c r="C43" s="138" t="s">
        <v>181</v>
      </c>
      <c r="D43" s="147">
        <v>0</v>
      </c>
      <c r="E43" s="147">
        <v>0</v>
      </c>
      <c r="F43" s="147">
        <v>0</v>
      </c>
      <c r="G43" s="291">
        <v>0</v>
      </c>
      <c r="H43" s="150">
        <v>0</v>
      </c>
      <c r="I43" s="567">
        <f t="shared" si="0"/>
        <v>0</v>
      </c>
    </row>
    <row r="44" spans="1:9" ht="12" thickTop="1" thickBot="1" x14ac:dyDescent="0.2">
      <c r="A44" s="138"/>
      <c r="B44" s="521"/>
      <c r="C44" s="138" t="s">
        <v>184</v>
      </c>
      <c r="D44" s="169">
        <f>SUM(D11:D43)</f>
        <v>0</v>
      </c>
      <c r="E44" s="169">
        <f>SUM(E11:E43)</f>
        <v>0</v>
      </c>
      <c r="F44" s="169">
        <f>SUM(F11:F43)</f>
        <v>0</v>
      </c>
      <c r="G44" s="169">
        <f>SUM(G11:G43)</f>
        <v>0</v>
      </c>
      <c r="H44" s="169">
        <f>SUM(H11:H43)</f>
        <v>0</v>
      </c>
      <c r="I44" s="169">
        <f t="shared" si="0"/>
        <v>0</v>
      </c>
    </row>
    <row r="45" spans="1:9" ht="11.25" thickTop="1" x14ac:dyDescent="0.15">
      <c r="A45" s="138"/>
      <c r="B45" s="521"/>
      <c r="C45" s="138"/>
      <c r="D45" s="14"/>
      <c r="E45" s="14"/>
      <c r="F45" s="14"/>
      <c r="G45" s="14"/>
      <c r="H45" s="14"/>
      <c r="I45" s="563"/>
    </row>
    <row r="46" spans="1:9" x14ac:dyDescent="0.15">
      <c r="A46" s="512" t="s">
        <v>71</v>
      </c>
      <c r="B46" s="138"/>
      <c r="C46" s="138"/>
      <c r="D46" s="14"/>
      <c r="E46" s="14"/>
      <c r="F46" s="14"/>
      <c r="G46" s="14"/>
      <c r="H46" s="14"/>
      <c r="I46" s="563"/>
    </row>
    <row r="47" spans="1:9" x14ac:dyDescent="0.15">
      <c r="A47" s="434"/>
      <c r="B47" s="523" t="s">
        <v>1577</v>
      </c>
      <c r="C47" s="524" t="s">
        <v>228</v>
      </c>
      <c r="D47" s="316">
        <v>0</v>
      </c>
      <c r="E47" s="316">
        <v>0</v>
      </c>
      <c r="F47" s="316">
        <v>0</v>
      </c>
      <c r="G47" s="528">
        <f t="array" ref="G47">SUM(IF(CertFund&amp;CertProg&amp;CertObj=RIGHT(LEFT($A$2,7),2)&amp;LEFT(A46,4)&amp;B47,CertSalary))</f>
        <v>0</v>
      </c>
      <c r="H47" s="527">
        <v>0</v>
      </c>
      <c r="I47" s="566">
        <f>SUM(G47+H47)</f>
        <v>0</v>
      </c>
    </row>
    <row r="48" spans="1:9" x14ac:dyDescent="0.15">
      <c r="A48" s="434"/>
      <c r="B48" s="523" t="s">
        <v>1577</v>
      </c>
      <c r="C48" s="524" t="s">
        <v>510</v>
      </c>
      <c r="D48" s="316">
        <v>0</v>
      </c>
      <c r="E48" s="316">
        <v>0</v>
      </c>
      <c r="F48" s="316">
        <v>0</v>
      </c>
      <c r="G48" s="316">
        <v>0</v>
      </c>
      <c r="H48" s="527">
        <v>0</v>
      </c>
      <c r="I48" s="566">
        <f>SUM(G48+H48)</f>
        <v>0</v>
      </c>
    </row>
    <row r="49" spans="1:9" x14ac:dyDescent="0.15">
      <c r="A49" s="524"/>
      <c r="B49" s="523" t="s">
        <v>1578</v>
      </c>
      <c r="C49" s="524" t="s">
        <v>936</v>
      </c>
      <c r="D49" s="316">
        <v>0</v>
      </c>
      <c r="E49" s="316">
        <v>0</v>
      </c>
      <c r="F49" s="316">
        <v>0</v>
      </c>
      <c r="G49" s="529">
        <f t="array" ref="G49">SUM(IF(CertFund&amp;CertProg&amp;CertObj=RIGHT(LEFT($A$2,7),2)&amp;LEFT(A46,4)&amp;B47,CertBen))</f>
        <v>0</v>
      </c>
      <c r="H49" s="527">
        <v>0</v>
      </c>
      <c r="I49" s="566">
        <f>SUM(G49+H49)</f>
        <v>0</v>
      </c>
    </row>
    <row r="50" spans="1:9" x14ac:dyDescent="0.15">
      <c r="A50" s="138"/>
      <c r="B50" s="521" t="s">
        <v>1578</v>
      </c>
      <c r="C50" s="138" t="s">
        <v>511</v>
      </c>
      <c r="D50" s="147">
        <v>0</v>
      </c>
      <c r="E50" s="147">
        <v>0</v>
      </c>
      <c r="F50" s="147">
        <v>0</v>
      </c>
      <c r="G50" s="147">
        <v>0</v>
      </c>
      <c r="H50" s="150">
        <v>0</v>
      </c>
      <c r="I50" s="567">
        <f>SUM(G50+H50)</f>
        <v>0</v>
      </c>
    </row>
    <row r="51" spans="1:9" x14ac:dyDescent="0.15">
      <c r="A51" s="138"/>
      <c r="B51" s="521" t="s">
        <v>1579</v>
      </c>
      <c r="C51" s="138" t="s">
        <v>118</v>
      </c>
      <c r="D51" s="144">
        <v>0</v>
      </c>
      <c r="E51" s="144">
        <v>0</v>
      </c>
      <c r="F51" s="144">
        <v>0</v>
      </c>
      <c r="G51" s="144">
        <v>0</v>
      </c>
      <c r="H51" s="150">
        <v>0</v>
      </c>
      <c r="I51" s="567">
        <f t="shared" ref="I51:I80" si="1">SUM(G51+H51)</f>
        <v>0</v>
      </c>
    </row>
    <row r="52" spans="1:9" x14ac:dyDescent="0.15">
      <c r="A52" s="138"/>
      <c r="B52" s="521" t="s">
        <v>1580</v>
      </c>
      <c r="C52" s="138" t="s">
        <v>119</v>
      </c>
      <c r="D52" s="144">
        <v>0</v>
      </c>
      <c r="E52" s="144">
        <v>0</v>
      </c>
      <c r="F52" s="144">
        <v>0</v>
      </c>
      <c r="G52" s="144">
        <v>0</v>
      </c>
      <c r="H52" s="150">
        <v>0</v>
      </c>
      <c r="I52" s="567">
        <f t="shared" si="1"/>
        <v>0</v>
      </c>
    </row>
    <row r="53" spans="1:9" x14ac:dyDescent="0.15">
      <c r="A53" s="138"/>
      <c r="B53" s="521" t="s">
        <v>120</v>
      </c>
      <c r="C53" s="138" t="s">
        <v>121</v>
      </c>
      <c r="D53" s="144">
        <v>0</v>
      </c>
      <c r="E53" s="144">
        <v>0</v>
      </c>
      <c r="F53" s="144">
        <v>0</v>
      </c>
      <c r="G53" s="144">
        <v>0</v>
      </c>
      <c r="H53" s="150">
        <v>0</v>
      </c>
      <c r="I53" s="567">
        <f t="shared" si="1"/>
        <v>0</v>
      </c>
    </row>
    <row r="54" spans="1:9" x14ac:dyDescent="0.15">
      <c r="A54" s="138"/>
      <c r="B54" s="521" t="s">
        <v>122</v>
      </c>
      <c r="C54" s="138" t="s">
        <v>123</v>
      </c>
      <c r="D54" s="144">
        <v>0</v>
      </c>
      <c r="E54" s="144">
        <v>0</v>
      </c>
      <c r="F54" s="144">
        <v>0</v>
      </c>
      <c r="G54" s="144">
        <v>0</v>
      </c>
      <c r="H54" s="150">
        <v>0</v>
      </c>
      <c r="I54" s="567">
        <f t="shared" si="1"/>
        <v>0</v>
      </c>
    </row>
    <row r="55" spans="1:9" x14ac:dyDescent="0.15">
      <c r="A55" s="138"/>
      <c r="B55" s="521" t="s">
        <v>1581</v>
      </c>
      <c r="C55" s="138" t="s">
        <v>124</v>
      </c>
      <c r="D55" s="144">
        <v>0</v>
      </c>
      <c r="E55" s="144">
        <v>0</v>
      </c>
      <c r="F55" s="144">
        <v>0</v>
      </c>
      <c r="G55" s="144">
        <v>0</v>
      </c>
      <c r="H55" s="150">
        <v>0</v>
      </c>
      <c r="I55" s="567">
        <f t="shared" si="1"/>
        <v>0</v>
      </c>
    </row>
    <row r="56" spans="1:9" x14ac:dyDescent="0.15">
      <c r="A56" s="138"/>
      <c r="B56" s="521" t="s">
        <v>127</v>
      </c>
      <c r="C56" s="138" t="s">
        <v>134</v>
      </c>
      <c r="D56" s="144">
        <v>0</v>
      </c>
      <c r="E56" s="144">
        <v>0</v>
      </c>
      <c r="F56" s="144">
        <v>0</v>
      </c>
      <c r="G56" s="144">
        <v>0</v>
      </c>
      <c r="H56" s="150">
        <v>0</v>
      </c>
      <c r="I56" s="567">
        <f t="shared" si="1"/>
        <v>0</v>
      </c>
    </row>
    <row r="57" spans="1:9" x14ac:dyDescent="0.15">
      <c r="A57" s="138"/>
      <c r="B57" s="521" t="s">
        <v>132</v>
      </c>
      <c r="C57" s="138" t="s">
        <v>1617</v>
      </c>
      <c r="D57" s="144">
        <v>0</v>
      </c>
      <c r="E57" s="144">
        <v>0</v>
      </c>
      <c r="F57" s="144">
        <v>0</v>
      </c>
      <c r="G57" s="144">
        <v>0</v>
      </c>
      <c r="H57" s="150">
        <v>0</v>
      </c>
      <c r="I57" s="567">
        <f t="shared" si="1"/>
        <v>0</v>
      </c>
    </row>
    <row r="58" spans="1:9" x14ac:dyDescent="0.15">
      <c r="A58" s="138"/>
      <c r="B58" s="521" t="s">
        <v>1618</v>
      </c>
      <c r="C58" s="138" t="s">
        <v>836</v>
      </c>
      <c r="D58" s="144">
        <v>0</v>
      </c>
      <c r="E58" s="144">
        <v>0</v>
      </c>
      <c r="F58" s="144">
        <v>0</v>
      </c>
      <c r="G58" s="144">
        <v>0</v>
      </c>
      <c r="H58" s="150">
        <v>0</v>
      </c>
      <c r="I58" s="567">
        <f t="shared" si="1"/>
        <v>0</v>
      </c>
    </row>
    <row r="59" spans="1:9" x14ac:dyDescent="0.15">
      <c r="A59" s="138"/>
      <c r="B59" s="521" t="s">
        <v>1619</v>
      </c>
      <c r="C59" s="138" t="s">
        <v>185</v>
      </c>
      <c r="D59" s="144">
        <v>0</v>
      </c>
      <c r="E59" s="144">
        <v>0</v>
      </c>
      <c r="F59" s="144">
        <v>0</v>
      </c>
      <c r="G59" s="144">
        <v>0</v>
      </c>
      <c r="H59" s="150">
        <v>0</v>
      </c>
      <c r="I59" s="567">
        <f t="shared" si="1"/>
        <v>0</v>
      </c>
    </row>
    <row r="60" spans="1:9" x14ac:dyDescent="0.15">
      <c r="A60" s="138"/>
      <c r="B60" s="521" t="s">
        <v>1620</v>
      </c>
      <c r="C60" s="138" t="s">
        <v>838</v>
      </c>
      <c r="D60" s="144">
        <v>0</v>
      </c>
      <c r="E60" s="144">
        <v>0</v>
      </c>
      <c r="F60" s="144">
        <v>0</v>
      </c>
      <c r="G60" s="144">
        <v>0</v>
      </c>
      <c r="H60" s="150">
        <v>0</v>
      </c>
      <c r="I60" s="567">
        <f t="shared" si="1"/>
        <v>0</v>
      </c>
    </row>
    <row r="61" spans="1:9" x14ac:dyDescent="0.15">
      <c r="A61" s="138"/>
      <c r="B61" s="521" t="s">
        <v>1621</v>
      </c>
      <c r="C61" s="138" t="s">
        <v>839</v>
      </c>
      <c r="D61" s="144">
        <v>0</v>
      </c>
      <c r="E61" s="144">
        <v>0</v>
      </c>
      <c r="F61" s="144">
        <v>0</v>
      </c>
      <c r="G61" s="144">
        <v>0</v>
      </c>
      <c r="H61" s="150">
        <v>0</v>
      </c>
      <c r="I61" s="567">
        <f t="shared" si="1"/>
        <v>0</v>
      </c>
    </row>
    <row r="62" spans="1:9" x14ac:dyDescent="0.15">
      <c r="A62" s="138"/>
      <c r="B62" s="521" t="s">
        <v>1622</v>
      </c>
      <c r="C62" s="138" t="s">
        <v>190</v>
      </c>
      <c r="D62" s="144">
        <v>0</v>
      </c>
      <c r="E62" s="144">
        <v>0</v>
      </c>
      <c r="F62" s="144">
        <v>0</v>
      </c>
      <c r="G62" s="144">
        <v>0</v>
      </c>
      <c r="H62" s="150">
        <v>0</v>
      </c>
      <c r="I62" s="567">
        <f t="shared" si="1"/>
        <v>0</v>
      </c>
    </row>
    <row r="63" spans="1:9" x14ac:dyDescent="0.15">
      <c r="A63" s="138"/>
      <c r="B63" s="521" t="s">
        <v>1623</v>
      </c>
      <c r="C63" s="138" t="s">
        <v>191</v>
      </c>
      <c r="D63" s="144">
        <v>0</v>
      </c>
      <c r="E63" s="144">
        <v>0</v>
      </c>
      <c r="F63" s="144">
        <v>0</v>
      </c>
      <c r="G63" s="144">
        <v>0</v>
      </c>
      <c r="H63" s="150">
        <v>0</v>
      </c>
      <c r="I63" s="567">
        <f t="shared" si="1"/>
        <v>0</v>
      </c>
    </row>
    <row r="64" spans="1:9" x14ac:dyDescent="0.15">
      <c r="A64" s="138"/>
      <c r="B64" s="521" t="s">
        <v>1624</v>
      </c>
      <c r="C64" s="138" t="s">
        <v>840</v>
      </c>
      <c r="D64" s="144">
        <v>0</v>
      </c>
      <c r="E64" s="144">
        <v>0</v>
      </c>
      <c r="F64" s="144">
        <v>0</v>
      </c>
      <c r="G64" s="144">
        <v>0</v>
      </c>
      <c r="H64" s="150">
        <v>0</v>
      </c>
      <c r="I64" s="567">
        <f t="shared" si="1"/>
        <v>0</v>
      </c>
    </row>
    <row r="65" spans="1:9" x14ac:dyDescent="0.15">
      <c r="A65" s="138"/>
      <c r="B65" s="521" t="s">
        <v>1625</v>
      </c>
      <c r="C65" s="138" t="s">
        <v>842</v>
      </c>
      <c r="D65" s="144">
        <v>0</v>
      </c>
      <c r="E65" s="144">
        <v>0</v>
      </c>
      <c r="F65" s="144">
        <v>0</v>
      </c>
      <c r="G65" s="144">
        <v>0</v>
      </c>
      <c r="H65" s="150">
        <v>0</v>
      </c>
      <c r="I65" s="567">
        <f t="shared" si="1"/>
        <v>0</v>
      </c>
    </row>
    <row r="66" spans="1:9" x14ac:dyDescent="0.15">
      <c r="A66" s="138"/>
      <c r="B66" s="521" t="s">
        <v>843</v>
      </c>
      <c r="C66" s="138" t="s">
        <v>848</v>
      </c>
      <c r="D66" s="144">
        <v>0</v>
      </c>
      <c r="E66" s="144">
        <v>0</v>
      </c>
      <c r="F66" s="144">
        <v>0</v>
      </c>
      <c r="G66" s="144">
        <v>0</v>
      </c>
      <c r="H66" s="150">
        <v>0</v>
      </c>
      <c r="I66" s="567">
        <f t="shared" si="1"/>
        <v>0</v>
      </c>
    </row>
    <row r="67" spans="1:9" x14ac:dyDescent="0.15">
      <c r="A67" s="138"/>
      <c r="B67" s="521" t="s">
        <v>844</v>
      </c>
      <c r="C67" s="138" t="s">
        <v>186</v>
      </c>
      <c r="D67" s="144">
        <v>0</v>
      </c>
      <c r="E67" s="144">
        <v>0</v>
      </c>
      <c r="F67" s="144">
        <v>0</v>
      </c>
      <c r="G67" s="144">
        <v>0</v>
      </c>
      <c r="H67" s="150">
        <v>0</v>
      </c>
      <c r="I67" s="567">
        <f t="shared" si="1"/>
        <v>0</v>
      </c>
    </row>
    <row r="68" spans="1:9" x14ac:dyDescent="0.15">
      <c r="A68" s="138"/>
      <c r="B68" s="521" t="s">
        <v>845</v>
      </c>
      <c r="C68" s="138" t="s">
        <v>154</v>
      </c>
      <c r="D68" s="144">
        <v>0</v>
      </c>
      <c r="E68" s="144">
        <v>0</v>
      </c>
      <c r="F68" s="144">
        <v>0</v>
      </c>
      <c r="G68" s="144">
        <v>0</v>
      </c>
      <c r="H68" s="150">
        <v>0</v>
      </c>
      <c r="I68" s="567">
        <f t="shared" si="1"/>
        <v>0</v>
      </c>
    </row>
    <row r="69" spans="1:9" x14ac:dyDescent="0.15">
      <c r="A69" s="138"/>
      <c r="B69" s="521" t="s">
        <v>846</v>
      </c>
      <c r="C69" s="138" t="s">
        <v>155</v>
      </c>
      <c r="D69" s="144">
        <v>0</v>
      </c>
      <c r="E69" s="144">
        <v>0</v>
      </c>
      <c r="F69" s="144">
        <v>0</v>
      </c>
      <c r="G69" s="144">
        <v>0</v>
      </c>
      <c r="H69" s="150">
        <v>0</v>
      </c>
      <c r="I69" s="567">
        <f t="shared" si="1"/>
        <v>0</v>
      </c>
    </row>
    <row r="70" spans="1:9" x14ac:dyDescent="0.15">
      <c r="A70" s="138"/>
      <c r="B70" s="521" t="s">
        <v>1582</v>
      </c>
      <c r="C70" s="138" t="s">
        <v>156</v>
      </c>
      <c r="D70" s="144">
        <v>0</v>
      </c>
      <c r="E70" s="144">
        <v>0</v>
      </c>
      <c r="F70" s="144">
        <v>0</v>
      </c>
      <c r="G70" s="144">
        <v>0</v>
      </c>
      <c r="H70" s="150">
        <v>0</v>
      </c>
      <c r="I70" s="567">
        <f t="shared" si="1"/>
        <v>0</v>
      </c>
    </row>
    <row r="71" spans="1:9" x14ac:dyDescent="0.15">
      <c r="A71" s="138"/>
      <c r="B71" s="521" t="s">
        <v>847</v>
      </c>
      <c r="C71" s="138" t="s">
        <v>157</v>
      </c>
      <c r="D71" s="144">
        <v>0</v>
      </c>
      <c r="E71" s="144">
        <v>0</v>
      </c>
      <c r="F71" s="144">
        <v>0</v>
      </c>
      <c r="G71" s="144">
        <v>0</v>
      </c>
      <c r="H71" s="150">
        <v>0</v>
      </c>
      <c r="I71" s="567">
        <f t="shared" si="1"/>
        <v>0</v>
      </c>
    </row>
    <row r="72" spans="1:9" x14ac:dyDescent="0.15">
      <c r="A72" s="138"/>
      <c r="B72" s="521" t="s">
        <v>1583</v>
      </c>
      <c r="C72" s="138" t="s">
        <v>160</v>
      </c>
      <c r="D72" s="144">
        <v>0</v>
      </c>
      <c r="E72" s="144">
        <v>0</v>
      </c>
      <c r="F72" s="144">
        <v>0</v>
      </c>
      <c r="G72" s="144">
        <v>0</v>
      </c>
      <c r="H72" s="150">
        <v>0</v>
      </c>
      <c r="I72" s="567">
        <f t="shared" si="1"/>
        <v>0</v>
      </c>
    </row>
    <row r="73" spans="1:9" x14ac:dyDescent="0.15">
      <c r="A73" s="138"/>
      <c r="B73" s="521" t="s">
        <v>634</v>
      </c>
      <c r="C73" s="138" t="s">
        <v>165</v>
      </c>
      <c r="D73" s="144">
        <v>0</v>
      </c>
      <c r="E73" s="144">
        <v>0</v>
      </c>
      <c r="F73" s="144">
        <v>0</v>
      </c>
      <c r="G73" s="144">
        <v>0</v>
      </c>
      <c r="H73" s="150">
        <v>0</v>
      </c>
      <c r="I73" s="567">
        <f t="shared" si="1"/>
        <v>0</v>
      </c>
    </row>
    <row r="74" spans="1:9" x14ac:dyDescent="0.15">
      <c r="A74" s="138"/>
      <c r="B74" s="521" t="s">
        <v>630</v>
      </c>
      <c r="C74" s="138" t="s">
        <v>172</v>
      </c>
      <c r="D74" s="144">
        <v>0</v>
      </c>
      <c r="E74" s="144">
        <v>0</v>
      </c>
      <c r="F74" s="144">
        <v>0</v>
      </c>
      <c r="G74" s="144">
        <v>0</v>
      </c>
      <c r="H74" s="150">
        <v>0</v>
      </c>
      <c r="I74" s="567">
        <f t="shared" si="1"/>
        <v>0</v>
      </c>
    </row>
    <row r="75" spans="1:9" x14ac:dyDescent="0.15">
      <c r="A75" s="138"/>
      <c r="B75" s="650" t="s">
        <v>631</v>
      </c>
      <c r="C75" s="651" t="s">
        <v>173</v>
      </c>
      <c r="D75" s="144">
        <v>0</v>
      </c>
      <c r="E75" s="144">
        <v>0</v>
      </c>
      <c r="F75" s="144">
        <v>0</v>
      </c>
      <c r="G75" s="144">
        <v>0</v>
      </c>
      <c r="H75" s="150">
        <v>0</v>
      </c>
      <c r="I75" s="567">
        <f t="shared" si="1"/>
        <v>0</v>
      </c>
    </row>
    <row r="76" spans="1:9" x14ac:dyDescent="0.15">
      <c r="A76" s="138"/>
      <c r="B76" s="521" t="s">
        <v>1584</v>
      </c>
      <c r="C76" s="138" t="s">
        <v>178</v>
      </c>
      <c r="D76" s="144">
        <v>0</v>
      </c>
      <c r="E76" s="144">
        <v>0</v>
      </c>
      <c r="F76" s="144">
        <v>0</v>
      </c>
      <c r="G76" s="144">
        <v>0</v>
      </c>
      <c r="H76" s="150">
        <v>0</v>
      </c>
      <c r="I76" s="567">
        <f t="shared" si="1"/>
        <v>0</v>
      </c>
    </row>
    <row r="77" spans="1:9" x14ac:dyDescent="0.15">
      <c r="A77" s="138"/>
      <c r="B77" s="521" t="s">
        <v>174</v>
      </c>
      <c r="C77" s="138" t="s">
        <v>179</v>
      </c>
      <c r="D77" s="144">
        <v>0</v>
      </c>
      <c r="E77" s="144">
        <v>0</v>
      </c>
      <c r="F77" s="144">
        <v>0</v>
      </c>
      <c r="G77" s="144">
        <v>0</v>
      </c>
      <c r="H77" s="150">
        <v>0</v>
      </c>
      <c r="I77" s="567">
        <f t="shared" si="1"/>
        <v>0</v>
      </c>
    </row>
    <row r="78" spans="1:9" x14ac:dyDescent="0.15">
      <c r="A78" s="138"/>
      <c r="B78" s="521" t="s">
        <v>175</v>
      </c>
      <c r="C78" s="138" t="s">
        <v>180</v>
      </c>
      <c r="D78" s="144">
        <v>0</v>
      </c>
      <c r="E78" s="144">
        <v>0</v>
      </c>
      <c r="F78" s="144">
        <v>0</v>
      </c>
      <c r="G78" s="144">
        <v>0</v>
      </c>
      <c r="H78" s="150">
        <v>0</v>
      </c>
      <c r="I78" s="567">
        <f t="shared" si="1"/>
        <v>0</v>
      </c>
    </row>
    <row r="79" spans="1:9" ht="11.25" thickBot="1" x14ac:dyDescent="0.2">
      <c r="A79" s="138"/>
      <c r="B79" s="521" t="s">
        <v>176</v>
      </c>
      <c r="C79" s="138" t="s">
        <v>181</v>
      </c>
      <c r="D79" s="144">
        <v>0</v>
      </c>
      <c r="E79" s="144">
        <v>0</v>
      </c>
      <c r="F79" s="144">
        <v>0</v>
      </c>
      <c r="G79" s="291">
        <v>0</v>
      </c>
      <c r="H79" s="150">
        <v>0</v>
      </c>
      <c r="I79" s="567">
        <f t="shared" si="1"/>
        <v>0</v>
      </c>
    </row>
    <row r="80" spans="1:9" ht="12" thickTop="1" thickBot="1" x14ac:dyDescent="0.2">
      <c r="A80" s="138"/>
      <c r="B80" s="521"/>
      <c r="C80" s="138" t="s">
        <v>72</v>
      </c>
      <c r="D80" s="169">
        <f>SUM(D47:D79)</f>
        <v>0</v>
      </c>
      <c r="E80" s="169">
        <f>SUM(E47:E79)</f>
        <v>0</v>
      </c>
      <c r="F80" s="169">
        <f>SUM(F47:F79)</f>
        <v>0</v>
      </c>
      <c r="G80" s="169">
        <f>SUM(G47:G79)</f>
        <v>0</v>
      </c>
      <c r="H80" s="169">
        <f>SUM(H47:H79)</f>
        <v>0</v>
      </c>
      <c r="I80" s="169">
        <f t="shared" si="1"/>
        <v>0</v>
      </c>
    </row>
    <row r="81" spans="1:9" ht="11.25" thickTop="1" x14ac:dyDescent="0.15">
      <c r="A81" s="138"/>
      <c r="B81" s="138"/>
      <c r="C81" s="138"/>
      <c r="D81" s="14"/>
      <c r="E81" s="14"/>
      <c r="F81" s="14"/>
      <c r="G81" s="14"/>
      <c r="H81" s="14"/>
      <c r="I81" s="563"/>
    </row>
    <row r="82" spans="1:9" x14ac:dyDescent="0.15">
      <c r="A82" s="512" t="s">
        <v>70</v>
      </c>
      <c r="B82" s="512"/>
      <c r="C82" s="512"/>
      <c r="D82" s="14"/>
      <c r="E82" s="14"/>
      <c r="F82" s="14"/>
      <c r="G82" s="14"/>
      <c r="H82" s="14"/>
      <c r="I82" s="563"/>
    </row>
    <row r="83" spans="1:9" x14ac:dyDescent="0.15">
      <c r="A83" s="434"/>
      <c r="B83" s="523" t="s">
        <v>1577</v>
      </c>
      <c r="C83" s="524" t="s">
        <v>228</v>
      </c>
      <c r="D83" s="316">
        <v>0</v>
      </c>
      <c r="E83" s="316">
        <v>0</v>
      </c>
      <c r="F83" s="316">
        <v>0</v>
      </c>
      <c r="G83" s="528">
        <f t="array" ref="G83">SUM(IF(CertFund&amp;CertProg&amp;CertObj=RIGHT(LEFT($A$2,7),2)&amp;LEFT(A82,4)&amp;B83,CertSalary))</f>
        <v>0</v>
      </c>
      <c r="H83" s="527">
        <v>0</v>
      </c>
      <c r="I83" s="566">
        <f>SUM(G83+H83)</f>
        <v>0</v>
      </c>
    </row>
    <row r="84" spans="1:9" x14ac:dyDescent="0.15">
      <c r="A84" s="434"/>
      <c r="B84" s="523" t="s">
        <v>1577</v>
      </c>
      <c r="C84" s="524" t="s">
        <v>510</v>
      </c>
      <c r="D84" s="316">
        <v>0</v>
      </c>
      <c r="E84" s="316">
        <v>0</v>
      </c>
      <c r="F84" s="316">
        <v>0</v>
      </c>
      <c r="G84" s="316">
        <v>0</v>
      </c>
      <c r="H84" s="527">
        <v>0</v>
      </c>
      <c r="I84" s="566">
        <f>SUM(G84+H84)</f>
        <v>0</v>
      </c>
    </row>
    <row r="85" spans="1:9" x14ac:dyDescent="0.15">
      <c r="A85" s="524"/>
      <c r="B85" s="523" t="s">
        <v>1578</v>
      </c>
      <c r="C85" s="524" t="s">
        <v>936</v>
      </c>
      <c r="D85" s="316">
        <v>0</v>
      </c>
      <c r="E85" s="316">
        <v>0</v>
      </c>
      <c r="F85" s="316">
        <v>0</v>
      </c>
      <c r="G85" s="529">
        <f t="array" ref="G85">SUM(IF(CertFund&amp;CertProg&amp;CertObj=RIGHT(LEFT($A$2,7),2)&amp;LEFT(A82,4)&amp;B83,CertBen))</f>
        <v>0</v>
      </c>
      <c r="H85" s="527">
        <v>0</v>
      </c>
      <c r="I85" s="566">
        <f>SUM(G85+H85)</f>
        <v>0</v>
      </c>
    </row>
    <row r="86" spans="1:9" x14ac:dyDescent="0.15">
      <c r="A86" s="138"/>
      <c r="B86" s="521" t="s">
        <v>1578</v>
      </c>
      <c r="C86" s="138" t="s">
        <v>511</v>
      </c>
      <c r="D86" s="147">
        <v>0</v>
      </c>
      <c r="E86" s="147">
        <v>0</v>
      </c>
      <c r="F86" s="147">
        <v>0</v>
      </c>
      <c r="G86" s="147">
        <v>0</v>
      </c>
      <c r="H86" s="150">
        <v>0</v>
      </c>
      <c r="I86" s="567">
        <f>SUM(G86+H86)</f>
        <v>0</v>
      </c>
    </row>
    <row r="87" spans="1:9" x14ac:dyDescent="0.15">
      <c r="A87" s="138"/>
      <c r="B87" s="521" t="s">
        <v>1579</v>
      </c>
      <c r="C87" s="138" t="s">
        <v>118</v>
      </c>
      <c r="D87" s="144">
        <v>0</v>
      </c>
      <c r="E87" s="144">
        <v>0</v>
      </c>
      <c r="F87" s="144">
        <v>0</v>
      </c>
      <c r="G87" s="144">
        <v>0</v>
      </c>
      <c r="H87" s="150">
        <v>0</v>
      </c>
      <c r="I87" s="567">
        <f t="shared" ref="I87:I115" si="2">SUM(G87+H87)</f>
        <v>0</v>
      </c>
    </row>
    <row r="88" spans="1:9" x14ac:dyDescent="0.15">
      <c r="A88" s="138"/>
      <c r="B88" s="521" t="s">
        <v>1580</v>
      </c>
      <c r="C88" s="138" t="s">
        <v>119</v>
      </c>
      <c r="D88" s="144">
        <v>0</v>
      </c>
      <c r="E88" s="144">
        <v>0</v>
      </c>
      <c r="F88" s="144">
        <v>0</v>
      </c>
      <c r="G88" s="144">
        <v>0</v>
      </c>
      <c r="H88" s="150">
        <v>0</v>
      </c>
      <c r="I88" s="567">
        <f t="shared" si="2"/>
        <v>0</v>
      </c>
    </row>
    <row r="89" spans="1:9" x14ac:dyDescent="0.15">
      <c r="A89" s="138"/>
      <c r="B89" s="521" t="s">
        <v>120</v>
      </c>
      <c r="C89" s="138" t="s">
        <v>121</v>
      </c>
      <c r="D89" s="144">
        <v>0</v>
      </c>
      <c r="E89" s="144">
        <v>0</v>
      </c>
      <c r="F89" s="144">
        <v>0</v>
      </c>
      <c r="G89" s="144">
        <v>0</v>
      </c>
      <c r="H89" s="150">
        <v>0</v>
      </c>
      <c r="I89" s="567">
        <f t="shared" si="2"/>
        <v>0</v>
      </c>
    </row>
    <row r="90" spans="1:9" x14ac:dyDescent="0.15">
      <c r="A90" s="138"/>
      <c r="B90" s="521" t="s">
        <v>122</v>
      </c>
      <c r="C90" s="138" t="s">
        <v>123</v>
      </c>
      <c r="D90" s="144">
        <v>0</v>
      </c>
      <c r="E90" s="144">
        <v>0</v>
      </c>
      <c r="F90" s="144">
        <v>0</v>
      </c>
      <c r="G90" s="144">
        <v>0</v>
      </c>
      <c r="H90" s="150">
        <v>0</v>
      </c>
      <c r="I90" s="567">
        <f t="shared" si="2"/>
        <v>0</v>
      </c>
    </row>
    <row r="91" spans="1:9" x14ac:dyDescent="0.15">
      <c r="A91" s="138"/>
      <c r="B91" s="521" t="s">
        <v>1581</v>
      </c>
      <c r="C91" s="138" t="s">
        <v>124</v>
      </c>
      <c r="D91" s="144">
        <v>0</v>
      </c>
      <c r="E91" s="144">
        <v>0</v>
      </c>
      <c r="F91" s="144">
        <v>0</v>
      </c>
      <c r="G91" s="144">
        <v>0</v>
      </c>
      <c r="H91" s="150">
        <v>0</v>
      </c>
      <c r="I91" s="567">
        <f t="shared" si="2"/>
        <v>0</v>
      </c>
    </row>
    <row r="92" spans="1:9" x14ac:dyDescent="0.15">
      <c r="A92" s="138"/>
      <c r="B92" s="521" t="s">
        <v>127</v>
      </c>
      <c r="C92" s="138" t="s">
        <v>134</v>
      </c>
      <c r="D92" s="144">
        <v>0</v>
      </c>
      <c r="E92" s="144">
        <v>0</v>
      </c>
      <c r="F92" s="144">
        <v>0</v>
      </c>
      <c r="G92" s="144">
        <v>0</v>
      </c>
      <c r="H92" s="150">
        <v>0</v>
      </c>
      <c r="I92" s="567">
        <f t="shared" si="2"/>
        <v>0</v>
      </c>
    </row>
    <row r="93" spans="1:9" x14ac:dyDescent="0.15">
      <c r="A93" s="138"/>
      <c r="B93" s="521" t="s">
        <v>132</v>
      </c>
      <c r="C93" s="138" t="s">
        <v>1617</v>
      </c>
      <c r="D93" s="144">
        <v>0</v>
      </c>
      <c r="E93" s="144">
        <v>0</v>
      </c>
      <c r="F93" s="144">
        <v>0</v>
      </c>
      <c r="G93" s="144">
        <v>0</v>
      </c>
      <c r="H93" s="150">
        <v>0</v>
      </c>
      <c r="I93" s="567">
        <f t="shared" si="2"/>
        <v>0</v>
      </c>
    </row>
    <row r="94" spans="1:9" x14ac:dyDescent="0.15">
      <c r="A94" s="138"/>
      <c r="B94" s="521" t="s">
        <v>1618</v>
      </c>
      <c r="C94" s="138" t="s">
        <v>836</v>
      </c>
      <c r="D94" s="144">
        <v>0</v>
      </c>
      <c r="E94" s="144">
        <v>0</v>
      </c>
      <c r="F94" s="144">
        <v>0</v>
      </c>
      <c r="G94" s="144">
        <v>0</v>
      </c>
      <c r="H94" s="150">
        <v>0</v>
      </c>
      <c r="I94" s="567">
        <f t="shared" si="2"/>
        <v>0</v>
      </c>
    </row>
    <row r="95" spans="1:9" x14ac:dyDescent="0.15">
      <c r="A95" s="138"/>
      <c r="B95" s="521" t="s">
        <v>1619</v>
      </c>
      <c r="C95" s="138" t="s">
        <v>185</v>
      </c>
      <c r="D95" s="144">
        <v>0</v>
      </c>
      <c r="E95" s="144">
        <v>0</v>
      </c>
      <c r="F95" s="144">
        <v>0</v>
      </c>
      <c r="G95" s="144">
        <v>0</v>
      </c>
      <c r="H95" s="150">
        <v>0</v>
      </c>
      <c r="I95" s="567">
        <f t="shared" si="2"/>
        <v>0</v>
      </c>
    </row>
    <row r="96" spans="1:9" x14ac:dyDescent="0.15">
      <c r="A96" s="138"/>
      <c r="B96" s="521" t="s">
        <v>1620</v>
      </c>
      <c r="C96" s="138" t="s">
        <v>838</v>
      </c>
      <c r="D96" s="144">
        <v>0</v>
      </c>
      <c r="E96" s="144">
        <v>0</v>
      </c>
      <c r="F96" s="144">
        <v>0</v>
      </c>
      <c r="G96" s="144">
        <v>0</v>
      </c>
      <c r="H96" s="150">
        <v>0</v>
      </c>
      <c r="I96" s="567">
        <f t="shared" si="2"/>
        <v>0</v>
      </c>
    </row>
    <row r="97" spans="1:9" x14ac:dyDescent="0.15">
      <c r="A97" s="138"/>
      <c r="B97" s="521" t="s">
        <v>1621</v>
      </c>
      <c r="C97" s="138" t="s">
        <v>839</v>
      </c>
      <c r="D97" s="144">
        <v>0</v>
      </c>
      <c r="E97" s="144">
        <v>0</v>
      </c>
      <c r="F97" s="144">
        <v>0</v>
      </c>
      <c r="G97" s="144">
        <v>0</v>
      </c>
      <c r="H97" s="150">
        <v>0</v>
      </c>
      <c r="I97" s="567">
        <f t="shared" si="2"/>
        <v>0</v>
      </c>
    </row>
    <row r="98" spans="1:9" x14ac:dyDescent="0.15">
      <c r="A98" s="138"/>
      <c r="B98" s="521" t="s">
        <v>1622</v>
      </c>
      <c r="C98" s="138" t="s">
        <v>190</v>
      </c>
      <c r="D98" s="144">
        <v>0</v>
      </c>
      <c r="E98" s="144">
        <v>0</v>
      </c>
      <c r="F98" s="144">
        <v>0</v>
      </c>
      <c r="G98" s="144">
        <v>0</v>
      </c>
      <c r="H98" s="150">
        <v>0</v>
      </c>
      <c r="I98" s="567">
        <f t="shared" si="2"/>
        <v>0</v>
      </c>
    </row>
    <row r="99" spans="1:9" x14ac:dyDescent="0.15">
      <c r="A99" s="138"/>
      <c r="B99" s="521" t="s">
        <v>1623</v>
      </c>
      <c r="C99" s="138" t="s">
        <v>191</v>
      </c>
      <c r="D99" s="144">
        <v>0</v>
      </c>
      <c r="E99" s="144">
        <v>0</v>
      </c>
      <c r="F99" s="144">
        <v>0</v>
      </c>
      <c r="G99" s="144">
        <v>0</v>
      </c>
      <c r="H99" s="150">
        <v>0</v>
      </c>
      <c r="I99" s="567">
        <f t="shared" si="2"/>
        <v>0</v>
      </c>
    </row>
    <row r="100" spans="1:9" x14ac:dyDescent="0.15">
      <c r="A100" s="138"/>
      <c r="B100" s="521" t="s">
        <v>1624</v>
      </c>
      <c r="C100" s="138" t="s">
        <v>840</v>
      </c>
      <c r="D100" s="144">
        <v>0</v>
      </c>
      <c r="E100" s="144">
        <v>0</v>
      </c>
      <c r="F100" s="144">
        <v>0</v>
      </c>
      <c r="G100" s="144">
        <v>0</v>
      </c>
      <c r="H100" s="150">
        <v>0</v>
      </c>
      <c r="I100" s="567">
        <f t="shared" si="2"/>
        <v>0</v>
      </c>
    </row>
    <row r="101" spans="1:9" x14ac:dyDescent="0.15">
      <c r="A101" s="138"/>
      <c r="B101" s="521" t="s">
        <v>1625</v>
      </c>
      <c r="C101" s="138" t="s">
        <v>842</v>
      </c>
      <c r="D101" s="144">
        <v>0</v>
      </c>
      <c r="E101" s="144">
        <v>0</v>
      </c>
      <c r="F101" s="144">
        <v>0</v>
      </c>
      <c r="G101" s="144">
        <v>0</v>
      </c>
      <c r="H101" s="150">
        <v>0</v>
      </c>
      <c r="I101" s="567">
        <f t="shared" si="2"/>
        <v>0</v>
      </c>
    </row>
    <row r="102" spans="1:9" x14ac:dyDescent="0.15">
      <c r="A102" s="138"/>
      <c r="B102" s="521" t="s">
        <v>843</v>
      </c>
      <c r="C102" s="138" t="s">
        <v>848</v>
      </c>
      <c r="D102" s="144">
        <v>0</v>
      </c>
      <c r="E102" s="144">
        <v>0</v>
      </c>
      <c r="F102" s="144">
        <v>0</v>
      </c>
      <c r="G102" s="144">
        <v>0</v>
      </c>
      <c r="H102" s="150">
        <v>0</v>
      </c>
      <c r="I102" s="567">
        <f t="shared" si="2"/>
        <v>0</v>
      </c>
    </row>
    <row r="103" spans="1:9" x14ac:dyDescent="0.15">
      <c r="A103" s="138"/>
      <c r="B103" s="521" t="s">
        <v>844</v>
      </c>
      <c r="C103" s="138" t="s">
        <v>186</v>
      </c>
      <c r="D103" s="144">
        <v>0</v>
      </c>
      <c r="E103" s="144">
        <v>0</v>
      </c>
      <c r="F103" s="144">
        <v>0</v>
      </c>
      <c r="G103" s="144">
        <v>0</v>
      </c>
      <c r="H103" s="150">
        <v>0</v>
      </c>
      <c r="I103" s="567">
        <f t="shared" si="2"/>
        <v>0</v>
      </c>
    </row>
    <row r="104" spans="1:9" x14ac:dyDescent="0.15">
      <c r="A104" s="138"/>
      <c r="B104" s="521" t="s">
        <v>845</v>
      </c>
      <c r="C104" s="138" t="s">
        <v>154</v>
      </c>
      <c r="D104" s="144">
        <v>0</v>
      </c>
      <c r="E104" s="144">
        <v>0</v>
      </c>
      <c r="F104" s="144">
        <v>0</v>
      </c>
      <c r="G104" s="144">
        <v>0</v>
      </c>
      <c r="H104" s="150">
        <v>0</v>
      </c>
      <c r="I104" s="567">
        <f t="shared" si="2"/>
        <v>0</v>
      </c>
    </row>
    <row r="105" spans="1:9" x14ac:dyDescent="0.15">
      <c r="A105" s="138"/>
      <c r="B105" s="521" t="s">
        <v>846</v>
      </c>
      <c r="C105" s="138" t="s">
        <v>155</v>
      </c>
      <c r="D105" s="144">
        <v>0</v>
      </c>
      <c r="E105" s="144">
        <v>0</v>
      </c>
      <c r="F105" s="144">
        <v>0</v>
      </c>
      <c r="G105" s="144">
        <v>0</v>
      </c>
      <c r="H105" s="150">
        <v>0</v>
      </c>
      <c r="I105" s="567">
        <f t="shared" si="2"/>
        <v>0</v>
      </c>
    </row>
    <row r="106" spans="1:9" x14ac:dyDescent="0.15">
      <c r="A106" s="138"/>
      <c r="B106" s="521" t="s">
        <v>1582</v>
      </c>
      <c r="C106" s="138" t="s">
        <v>156</v>
      </c>
      <c r="D106" s="144">
        <v>0</v>
      </c>
      <c r="E106" s="144">
        <v>0</v>
      </c>
      <c r="F106" s="144">
        <v>0</v>
      </c>
      <c r="G106" s="144">
        <v>0</v>
      </c>
      <c r="H106" s="150">
        <v>0</v>
      </c>
      <c r="I106" s="567">
        <f t="shared" si="2"/>
        <v>0</v>
      </c>
    </row>
    <row r="107" spans="1:9" x14ac:dyDescent="0.15">
      <c r="A107" s="138"/>
      <c r="B107" s="521" t="s">
        <v>847</v>
      </c>
      <c r="C107" s="138" t="s">
        <v>157</v>
      </c>
      <c r="D107" s="144">
        <v>0</v>
      </c>
      <c r="E107" s="144">
        <v>0</v>
      </c>
      <c r="F107" s="144">
        <v>0</v>
      </c>
      <c r="G107" s="144">
        <v>0</v>
      </c>
      <c r="H107" s="150">
        <v>0</v>
      </c>
      <c r="I107" s="567">
        <f t="shared" si="2"/>
        <v>0</v>
      </c>
    </row>
    <row r="108" spans="1:9" x14ac:dyDescent="0.15">
      <c r="A108" s="138"/>
      <c r="B108" s="521" t="s">
        <v>1583</v>
      </c>
      <c r="C108" s="138" t="s">
        <v>160</v>
      </c>
      <c r="D108" s="144">
        <v>0</v>
      </c>
      <c r="E108" s="144">
        <v>0</v>
      </c>
      <c r="F108" s="144">
        <v>0</v>
      </c>
      <c r="G108" s="144">
        <v>0</v>
      </c>
      <c r="H108" s="150">
        <v>0</v>
      </c>
      <c r="I108" s="567">
        <f t="shared" si="2"/>
        <v>0</v>
      </c>
    </row>
    <row r="109" spans="1:9" x14ac:dyDescent="0.15">
      <c r="A109" s="138"/>
      <c r="B109" s="521" t="s">
        <v>634</v>
      </c>
      <c r="C109" s="138" t="s">
        <v>165</v>
      </c>
      <c r="D109" s="144">
        <v>0</v>
      </c>
      <c r="E109" s="144">
        <v>0</v>
      </c>
      <c r="F109" s="144">
        <v>0</v>
      </c>
      <c r="G109" s="144">
        <v>0</v>
      </c>
      <c r="H109" s="150">
        <v>0</v>
      </c>
      <c r="I109" s="567">
        <f t="shared" si="2"/>
        <v>0</v>
      </c>
    </row>
    <row r="110" spans="1:9" x14ac:dyDescent="0.15">
      <c r="A110" s="138"/>
      <c r="B110" s="521" t="s">
        <v>630</v>
      </c>
      <c r="C110" s="138" t="s">
        <v>172</v>
      </c>
      <c r="D110" s="144">
        <v>0</v>
      </c>
      <c r="E110" s="144">
        <v>0</v>
      </c>
      <c r="F110" s="144">
        <v>0</v>
      </c>
      <c r="G110" s="144">
        <v>0</v>
      </c>
      <c r="H110" s="150">
        <v>0</v>
      </c>
      <c r="I110" s="567">
        <f t="shared" si="2"/>
        <v>0</v>
      </c>
    </row>
    <row r="111" spans="1:9" x14ac:dyDescent="0.15">
      <c r="A111" s="138"/>
      <c r="B111" s="650" t="s">
        <v>631</v>
      </c>
      <c r="C111" s="651" t="s">
        <v>173</v>
      </c>
      <c r="D111" s="144">
        <v>0</v>
      </c>
      <c r="E111" s="144">
        <v>0</v>
      </c>
      <c r="F111" s="144">
        <v>0</v>
      </c>
      <c r="G111" s="144">
        <v>0</v>
      </c>
      <c r="H111" s="150">
        <v>0</v>
      </c>
      <c r="I111" s="567">
        <f t="shared" si="2"/>
        <v>0</v>
      </c>
    </row>
    <row r="112" spans="1:9" x14ac:dyDescent="0.15">
      <c r="A112" s="138"/>
      <c r="B112" s="521" t="s">
        <v>1584</v>
      </c>
      <c r="C112" s="138" t="s">
        <v>178</v>
      </c>
      <c r="D112" s="144">
        <v>0</v>
      </c>
      <c r="E112" s="144">
        <v>0</v>
      </c>
      <c r="F112" s="144">
        <v>0</v>
      </c>
      <c r="G112" s="144">
        <v>0</v>
      </c>
      <c r="H112" s="150">
        <v>0</v>
      </c>
      <c r="I112" s="567">
        <f t="shared" si="2"/>
        <v>0</v>
      </c>
    </row>
    <row r="113" spans="1:9" x14ac:dyDescent="0.15">
      <c r="A113" s="138"/>
      <c r="B113" s="521" t="s">
        <v>174</v>
      </c>
      <c r="C113" s="138" t="s">
        <v>179</v>
      </c>
      <c r="D113" s="144">
        <v>0</v>
      </c>
      <c r="E113" s="144">
        <v>0</v>
      </c>
      <c r="F113" s="144">
        <v>0</v>
      </c>
      <c r="G113" s="144">
        <v>0</v>
      </c>
      <c r="H113" s="150">
        <v>0</v>
      </c>
      <c r="I113" s="567">
        <f t="shared" si="2"/>
        <v>0</v>
      </c>
    </row>
    <row r="114" spans="1:9" x14ac:dyDescent="0.15">
      <c r="A114" s="138"/>
      <c r="B114" s="521" t="s">
        <v>175</v>
      </c>
      <c r="C114" s="138" t="s">
        <v>180</v>
      </c>
      <c r="D114" s="144">
        <v>0</v>
      </c>
      <c r="E114" s="144">
        <v>0</v>
      </c>
      <c r="F114" s="144">
        <v>0</v>
      </c>
      <c r="G114" s="144">
        <v>0</v>
      </c>
      <c r="H114" s="150">
        <v>0</v>
      </c>
      <c r="I114" s="567">
        <f t="shared" si="2"/>
        <v>0</v>
      </c>
    </row>
    <row r="115" spans="1:9" ht="11.25" thickBot="1" x14ac:dyDescent="0.2">
      <c r="A115" s="138"/>
      <c r="B115" s="521" t="s">
        <v>176</v>
      </c>
      <c r="C115" s="138" t="s">
        <v>181</v>
      </c>
      <c r="D115" s="144">
        <v>0</v>
      </c>
      <c r="E115" s="144">
        <v>0</v>
      </c>
      <c r="F115" s="144">
        <v>0</v>
      </c>
      <c r="G115" s="144">
        <v>0</v>
      </c>
      <c r="H115" s="150">
        <v>0</v>
      </c>
      <c r="I115" s="567">
        <f t="shared" si="2"/>
        <v>0</v>
      </c>
    </row>
    <row r="116" spans="1:9" ht="12" thickTop="1" thickBot="1" x14ac:dyDescent="0.2">
      <c r="A116" s="138"/>
      <c r="B116" s="521"/>
      <c r="C116" s="138" t="s">
        <v>67</v>
      </c>
      <c r="D116" s="169">
        <f>SUM(D83:D115)</f>
        <v>0</v>
      </c>
      <c r="E116" s="169">
        <f>SUM(E83:E115)</f>
        <v>0</v>
      </c>
      <c r="F116" s="169">
        <f>SUM(F83:F115)</f>
        <v>0</v>
      </c>
      <c r="G116" s="169">
        <f>SUM(G83:G115)</f>
        <v>0</v>
      </c>
      <c r="H116" s="169">
        <f>SUM(H83:H115)</f>
        <v>0</v>
      </c>
      <c r="I116" s="169">
        <f>SUM(G116+H116)</f>
        <v>0</v>
      </c>
    </row>
    <row r="117" spans="1:9" ht="11.25" thickTop="1" x14ac:dyDescent="0.15">
      <c r="A117" s="512"/>
      <c r="B117" s="512"/>
      <c r="C117" s="512"/>
      <c r="D117" s="14"/>
      <c r="E117" s="14"/>
      <c r="F117" s="14"/>
      <c r="G117" s="14"/>
      <c r="H117" s="14"/>
      <c r="I117" s="563"/>
    </row>
    <row r="118" spans="1:9" x14ac:dyDescent="0.15">
      <c r="A118" s="512" t="s">
        <v>68</v>
      </c>
      <c r="B118" s="512"/>
      <c r="C118" s="512"/>
      <c r="D118" s="14"/>
      <c r="E118" s="14"/>
      <c r="F118" s="14"/>
      <c r="G118" s="14"/>
      <c r="H118" s="14"/>
      <c r="I118" s="563"/>
    </row>
    <row r="119" spans="1:9" x14ac:dyDescent="0.15">
      <c r="A119" s="434"/>
      <c r="B119" s="523" t="s">
        <v>1577</v>
      </c>
      <c r="C119" s="524" t="s">
        <v>228</v>
      </c>
      <c r="D119" s="316">
        <v>0</v>
      </c>
      <c r="E119" s="316">
        <v>0</v>
      </c>
      <c r="F119" s="316">
        <v>0</v>
      </c>
      <c r="G119" s="528">
        <f t="array" ref="G119">SUM(IF(CertFund&amp;CertProg&amp;CertObj=RIGHT(LEFT($A$2,7),2)&amp;LEFT(A118,4)&amp;B119,CertSalary))</f>
        <v>0</v>
      </c>
      <c r="H119" s="527">
        <v>0</v>
      </c>
      <c r="I119" s="566">
        <f>SUM(G119+H119)</f>
        <v>0</v>
      </c>
    </row>
    <row r="120" spans="1:9" x14ac:dyDescent="0.15">
      <c r="A120" s="434"/>
      <c r="B120" s="523" t="s">
        <v>1577</v>
      </c>
      <c r="C120" s="524" t="s">
        <v>510</v>
      </c>
      <c r="D120" s="316">
        <v>0</v>
      </c>
      <c r="E120" s="316">
        <v>0</v>
      </c>
      <c r="F120" s="316">
        <v>0</v>
      </c>
      <c r="G120" s="316">
        <v>0</v>
      </c>
      <c r="H120" s="527">
        <v>0</v>
      </c>
      <c r="I120" s="566">
        <f>SUM(G120+H120)</f>
        <v>0</v>
      </c>
    </row>
    <row r="121" spans="1:9" x14ac:dyDescent="0.15">
      <c r="A121" s="524"/>
      <c r="B121" s="523" t="s">
        <v>1578</v>
      </c>
      <c r="C121" s="524" t="s">
        <v>936</v>
      </c>
      <c r="D121" s="316">
        <v>0</v>
      </c>
      <c r="E121" s="316">
        <v>0</v>
      </c>
      <c r="F121" s="316">
        <v>0</v>
      </c>
      <c r="G121" s="529">
        <f t="array" ref="G121">SUM(IF(CertFund&amp;CertProg&amp;CertObj=RIGHT(LEFT($A$2,7),2)&amp;LEFT(A118,4)&amp;B119,CertBen))</f>
        <v>0</v>
      </c>
      <c r="H121" s="527">
        <v>0</v>
      </c>
      <c r="I121" s="566">
        <f>SUM(G121+H121)</f>
        <v>0</v>
      </c>
    </row>
    <row r="122" spans="1:9" x14ac:dyDescent="0.15">
      <c r="A122" s="138"/>
      <c r="B122" s="521" t="s">
        <v>1578</v>
      </c>
      <c r="C122" s="138" t="s">
        <v>511</v>
      </c>
      <c r="D122" s="147">
        <v>0</v>
      </c>
      <c r="E122" s="147">
        <v>0</v>
      </c>
      <c r="F122" s="147">
        <v>0</v>
      </c>
      <c r="G122" s="147">
        <v>0</v>
      </c>
      <c r="H122" s="150">
        <v>0</v>
      </c>
      <c r="I122" s="567">
        <f>SUM(G122+H122)</f>
        <v>0</v>
      </c>
    </row>
    <row r="123" spans="1:9" x14ac:dyDescent="0.15">
      <c r="A123" s="138"/>
      <c r="B123" s="521" t="s">
        <v>1579</v>
      </c>
      <c r="C123" s="138" t="s">
        <v>118</v>
      </c>
      <c r="D123" s="144">
        <v>0</v>
      </c>
      <c r="E123" s="144">
        <v>0</v>
      </c>
      <c r="F123" s="144">
        <v>0</v>
      </c>
      <c r="G123" s="144">
        <v>0</v>
      </c>
      <c r="H123" s="150">
        <v>0</v>
      </c>
      <c r="I123" s="567">
        <f t="shared" ref="I123:I152" si="3">SUM(G123+H123)</f>
        <v>0</v>
      </c>
    </row>
    <row r="124" spans="1:9" x14ac:dyDescent="0.15">
      <c r="A124" s="138"/>
      <c r="B124" s="521" t="s">
        <v>1580</v>
      </c>
      <c r="C124" s="138" t="s">
        <v>119</v>
      </c>
      <c r="D124" s="144">
        <v>0</v>
      </c>
      <c r="E124" s="144">
        <v>0</v>
      </c>
      <c r="F124" s="144">
        <v>0</v>
      </c>
      <c r="G124" s="144">
        <v>0</v>
      </c>
      <c r="H124" s="150">
        <v>0</v>
      </c>
      <c r="I124" s="567">
        <f t="shared" si="3"/>
        <v>0</v>
      </c>
    </row>
    <row r="125" spans="1:9" x14ac:dyDescent="0.15">
      <c r="A125" s="138"/>
      <c r="B125" s="521" t="s">
        <v>120</v>
      </c>
      <c r="C125" s="138" t="s">
        <v>121</v>
      </c>
      <c r="D125" s="144">
        <v>0</v>
      </c>
      <c r="E125" s="144">
        <v>0</v>
      </c>
      <c r="F125" s="144">
        <v>0</v>
      </c>
      <c r="G125" s="144">
        <v>0</v>
      </c>
      <c r="H125" s="150">
        <v>0</v>
      </c>
      <c r="I125" s="567">
        <f t="shared" si="3"/>
        <v>0</v>
      </c>
    </row>
    <row r="126" spans="1:9" x14ac:dyDescent="0.15">
      <c r="A126" s="138"/>
      <c r="B126" s="521" t="s">
        <v>122</v>
      </c>
      <c r="C126" s="138" t="s">
        <v>123</v>
      </c>
      <c r="D126" s="144">
        <v>0</v>
      </c>
      <c r="E126" s="144">
        <v>0</v>
      </c>
      <c r="F126" s="144">
        <v>0</v>
      </c>
      <c r="G126" s="144">
        <v>0</v>
      </c>
      <c r="H126" s="150">
        <v>0</v>
      </c>
      <c r="I126" s="567">
        <f t="shared" si="3"/>
        <v>0</v>
      </c>
    </row>
    <row r="127" spans="1:9" x14ac:dyDescent="0.15">
      <c r="A127" s="138"/>
      <c r="B127" s="521" t="s">
        <v>1581</v>
      </c>
      <c r="C127" s="138" t="s">
        <v>124</v>
      </c>
      <c r="D127" s="144">
        <v>0</v>
      </c>
      <c r="E127" s="144">
        <v>0</v>
      </c>
      <c r="F127" s="144">
        <v>0</v>
      </c>
      <c r="G127" s="144">
        <v>0</v>
      </c>
      <c r="H127" s="150">
        <v>0</v>
      </c>
      <c r="I127" s="567">
        <f t="shared" si="3"/>
        <v>0</v>
      </c>
    </row>
    <row r="128" spans="1:9" x14ac:dyDescent="0.15">
      <c r="A128" s="138"/>
      <c r="B128" s="521" t="s">
        <v>127</v>
      </c>
      <c r="C128" s="138" t="s">
        <v>134</v>
      </c>
      <c r="D128" s="144">
        <v>0</v>
      </c>
      <c r="E128" s="144">
        <v>0</v>
      </c>
      <c r="F128" s="144">
        <v>0</v>
      </c>
      <c r="G128" s="144">
        <v>0</v>
      </c>
      <c r="H128" s="150">
        <v>0</v>
      </c>
      <c r="I128" s="567">
        <f t="shared" si="3"/>
        <v>0</v>
      </c>
    </row>
    <row r="129" spans="1:9" x14ac:dyDescent="0.15">
      <c r="A129" s="138"/>
      <c r="B129" s="521" t="s">
        <v>132</v>
      </c>
      <c r="C129" s="138" t="s">
        <v>1617</v>
      </c>
      <c r="D129" s="144">
        <v>0</v>
      </c>
      <c r="E129" s="144">
        <v>0</v>
      </c>
      <c r="F129" s="144">
        <v>0</v>
      </c>
      <c r="G129" s="144">
        <v>0</v>
      </c>
      <c r="H129" s="150">
        <v>0</v>
      </c>
      <c r="I129" s="567">
        <f t="shared" si="3"/>
        <v>0</v>
      </c>
    </row>
    <row r="130" spans="1:9" x14ac:dyDescent="0.15">
      <c r="A130" s="138"/>
      <c r="B130" s="521" t="s">
        <v>1618</v>
      </c>
      <c r="C130" s="138" t="s">
        <v>836</v>
      </c>
      <c r="D130" s="144">
        <v>0</v>
      </c>
      <c r="E130" s="144">
        <v>0</v>
      </c>
      <c r="F130" s="144">
        <v>0</v>
      </c>
      <c r="G130" s="144">
        <v>0</v>
      </c>
      <c r="H130" s="150">
        <v>0</v>
      </c>
      <c r="I130" s="567">
        <f t="shared" si="3"/>
        <v>0</v>
      </c>
    </row>
    <row r="131" spans="1:9" x14ac:dyDescent="0.15">
      <c r="A131" s="138"/>
      <c r="B131" s="521" t="s">
        <v>1619</v>
      </c>
      <c r="C131" s="138" t="s">
        <v>185</v>
      </c>
      <c r="D131" s="144">
        <v>0</v>
      </c>
      <c r="E131" s="144">
        <v>0</v>
      </c>
      <c r="F131" s="144">
        <v>0</v>
      </c>
      <c r="G131" s="144">
        <v>0</v>
      </c>
      <c r="H131" s="150">
        <v>0</v>
      </c>
      <c r="I131" s="567">
        <f t="shared" si="3"/>
        <v>0</v>
      </c>
    </row>
    <row r="132" spans="1:9" x14ac:dyDescent="0.15">
      <c r="A132" s="138"/>
      <c r="B132" s="521" t="s">
        <v>1620</v>
      </c>
      <c r="C132" s="138" t="s">
        <v>838</v>
      </c>
      <c r="D132" s="144">
        <v>0</v>
      </c>
      <c r="E132" s="144">
        <v>0</v>
      </c>
      <c r="F132" s="144">
        <v>0</v>
      </c>
      <c r="G132" s="144">
        <v>0</v>
      </c>
      <c r="H132" s="150">
        <v>0</v>
      </c>
      <c r="I132" s="567">
        <f t="shared" si="3"/>
        <v>0</v>
      </c>
    </row>
    <row r="133" spans="1:9" x14ac:dyDescent="0.15">
      <c r="A133" s="138"/>
      <c r="B133" s="521" t="s">
        <v>1621</v>
      </c>
      <c r="C133" s="138" t="s">
        <v>839</v>
      </c>
      <c r="D133" s="144">
        <v>0</v>
      </c>
      <c r="E133" s="144">
        <v>0</v>
      </c>
      <c r="F133" s="144">
        <v>0</v>
      </c>
      <c r="G133" s="144">
        <v>0</v>
      </c>
      <c r="H133" s="150">
        <v>0</v>
      </c>
      <c r="I133" s="567">
        <f t="shared" si="3"/>
        <v>0</v>
      </c>
    </row>
    <row r="134" spans="1:9" x14ac:dyDescent="0.15">
      <c r="A134" s="138"/>
      <c r="B134" s="521" t="s">
        <v>1622</v>
      </c>
      <c r="C134" s="138" t="s">
        <v>190</v>
      </c>
      <c r="D134" s="144">
        <v>0</v>
      </c>
      <c r="E134" s="144">
        <v>0</v>
      </c>
      <c r="F134" s="144">
        <v>0</v>
      </c>
      <c r="G134" s="144">
        <v>0</v>
      </c>
      <c r="H134" s="150">
        <v>0</v>
      </c>
      <c r="I134" s="567">
        <f t="shared" si="3"/>
        <v>0</v>
      </c>
    </row>
    <row r="135" spans="1:9" x14ac:dyDescent="0.15">
      <c r="A135" s="138"/>
      <c r="B135" s="521" t="s">
        <v>1623</v>
      </c>
      <c r="C135" s="138" t="s">
        <v>191</v>
      </c>
      <c r="D135" s="144">
        <v>0</v>
      </c>
      <c r="E135" s="144">
        <v>0</v>
      </c>
      <c r="F135" s="144">
        <v>0</v>
      </c>
      <c r="G135" s="144">
        <v>0</v>
      </c>
      <c r="H135" s="150">
        <v>0</v>
      </c>
      <c r="I135" s="567">
        <f t="shared" si="3"/>
        <v>0</v>
      </c>
    </row>
    <row r="136" spans="1:9" x14ac:dyDescent="0.15">
      <c r="A136" s="138"/>
      <c r="B136" s="521" t="s">
        <v>1624</v>
      </c>
      <c r="C136" s="138" t="s">
        <v>840</v>
      </c>
      <c r="D136" s="144">
        <v>0</v>
      </c>
      <c r="E136" s="144">
        <v>0</v>
      </c>
      <c r="F136" s="144">
        <v>0</v>
      </c>
      <c r="G136" s="144">
        <v>0</v>
      </c>
      <c r="H136" s="150">
        <v>0</v>
      </c>
      <c r="I136" s="567">
        <f t="shared" si="3"/>
        <v>0</v>
      </c>
    </row>
    <row r="137" spans="1:9" x14ac:dyDescent="0.15">
      <c r="A137" s="138"/>
      <c r="B137" s="521" t="s">
        <v>1625</v>
      </c>
      <c r="C137" s="138" t="s">
        <v>842</v>
      </c>
      <c r="D137" s="144">
        <v>0</v>
      </c>
      <c r="E137" s="144">
        <v>0</v>
      </c>
      <c r="F137" s="144">
        <v>0</v>
      </c>
      <c r="G137" s="144">
        <v>0</v>
      </c>
      <c r="H137" s="150">
        <v>0</v>
      </c>
      <c r="I137" s="567">
        <f t="shared" si="3"/>
        <v>0</v>
      </c>
    </row>
    <row r="138" spans="1:9" x14ac:dyDescent="0.15">
      <c r="A138" s="138"/>
      <c r="B138" s="521" t="s">
        <v>843</v>
      </c>
      <c r="C138" s="138" t="s">
        <v>848</v>
      </c>
      <c r="D138" s="144">
        <v>0</v>
      </c>
      <c r="E138" s="144">
        <v>0</v>
      </c>
      <c r="F138" s="144">
        <v>0</v>
      </c>
      <c r="G138" s="144">
        <v>0</v>
      </c>
      <c r="H138" s="150">
        <v>0</v>
      </c>
      <c r="I138" s="567">
        <f t="shared" si="3"/>
        <v>0</v>
      </c>
    </row>
    <row r="139" spans="1:9" x14ac:dyDescent="0.15">
      <c r="A139" s="138"/>
      <c r="B139" s="521" t="s">
        <v>844</v>
      </c>
      <c r="C139" s="138" t="s">
        <v>186</v>
      </c>
      <c r="D139" s="144">
        <v>0</v>
      </c>
      <c r="E139" s="144">
        <v>0</v>
      </c>
      <c r="F139" s="144">
        <v>0</v>
      </c>
      <c r="G139" s="144">
        <v>0</v>
      </c>
      <c r="H139" s="150">
        <v>0</v>
      </c>
      <c r="I139" s="567">
        <f t="shared" si="3"/>
        <v>0</v>
      </c>
    </row>
    <row r="140" spans="1:9" x14ac:dyDescent="0.15">
      <c r="A140" s="138"/>
      <c r="B140" s="521" t="s">
        <v>845</v>
      </c>
      <c r="C140" s="138" t="s">
        <v>154</v>
      </c>
      <c r="D140" s="144">
        <v>0</v>
      </c>
      <c r="E140" s="144">
        <v>0</v>
      </c>
      <c r="F140" s="144">
        <v>0</v>
      </c>
      <c r="G140" s="144">
        <v>0</v>
      </c>
      <c r="H140" s="150">
        <v>0</v>
      </c>
      <c r="I140" s="567">
        <f t="shared" si="3"/>
        <v>0</v>
      </c>
    </row>
    <row r="141" spans="1:9" x14ac:dyDescent="0.15">
      <c r="A141" s="138"/>
      <c r="B141" s="521" t="s">
        <v>846</v>
      </c>
      <c r="C141" s="138" t="s">
        <v>155</v>
      </c>
      <c r="D141" s="144">
        <v>0</v>
      </c>
      <c r="E141" s="144">
        <v>0</v>
      </c>
      <c r="F141" s="144">
        <v>0</v>
      </c>
      <c r="G141" s="144">
        <v>0</v>
      </c>
      <c r="H141" s="150">
        <v>0</v>
      </c>
      <c r="I141" s="567">
        <f t="shared" si="3"/>
        <v>0</v>
      </c>
    </row>
    <row r="142" spans="1:9" x14ac:dyDescent="0.15">
      <c r="A142" s="138"/>
      <c r="B142" s="521" t="s">
        <v>1582</v>
      </c>
      <c r="C142" s="138" t="s">
        <v>156</v>
      </c>
      <c r="D142" s="144">
        <v>0</v>
      </c>
      <c r="E142" s="144">
        <v>0</v>
      </c>
      <c r="F142" s="144">
        <v>0</v>
      </c>
      <c r="G142" s="144">
        <v>0</v>
      </c>
      <c r="H142" s="150">
        <v>0</v>
      </c>
      <c r="I142" s="567">
        <f t="shared" si="3"/>
        <v>0</v>
      </c>
    </row>
    <row r="143" spans="1:9" x14ac:dyDescent="0.15">
      <c r="A143" s="138"/>
      <c r="B143" s="521" t="s">
        <v>847</v>
      </c>
      <c r="C143" s="138" t="s">
        <v>157</v>
      </c>
      <c r="D143" s="144">
        <v>0</v>
      </c>
      <c r="E143" s="144">
        <v>0</v>
      </c>
      <c r="F143" s="144">
        <v>0</v>
      </c>
      <c r="G143" s="144">
        <v>0</v>
      </c>
      <c r="H143" s="150">
        <v>0</v>
      </c>
      <c r="I143" s="567">
        <f t="shared" si="3"/>
        <v>0</v>
      </c>
    </row>
    <row r="144" spans="1:9" x14ac:dyDescent="0.15">
      <c r="A144" s="138"/>
      <c r="B144" s="521" t="s">
        <v>1583</v>
      </c>
      <c r="C144" s="138" t="s">
        <v>160</v>
      </c>
      <c r="D144" s="144">
        <v>0</v>
      </c>
      <c r="E144" s="144">
        <v>0</v>
      </c>
      <c r="F144" s="144">
        <v>0</v>
      </c>
      <c r="G144" s="144">
        <v>0</v>
      </c>
      <c r="H144" s="150">
        <v>0</v>
      </c>
      <c r="I144" s="567">
        <f t="shared" si="3"/>
        <v>0</v>
      </c>
    </row>
    <row r="145" spans="1:9" x14ac:dyDescent="0.15">
      <c r="A145" s="138"/>
      <c r="B145" s="521" t="s">
        <v>634</v>
      </c>
      <c r="C145" s="138" t="s">
        <v>165</v>
      </c>
      <c r="D145" s="144">
        <v>0</v>
      </c>
      <c r="E145" s="144">
        <v>0</v>
      </c>
      <c r="F145" s="144">
        <v>0</v>
      </c>
      <c r="G145" s="144">
        <v>0</v>
      </c>
      <c r="H145" s="150">
        <v>0</v>
      </c>
      <c r="I145" s="567">
        <f t="shared" si="3"/>
        <v>0</v>
      </c>
    </row>
    <row r="146" spans="1:9" x14ac:dyDescent="0.15">
      <c r="A146" s="138"/>
      <c r="B146" s="521" t="s">
        <v>630</v>
      </c>
      <c r="C146" s="138" t="s">
        <v>172</v>
      </c>
      <c r="D146" s="144">
        <v>0</v>
      </c>
      <c r="E146" s="144">
        <v>0</v>
      </c>
      <c r="F146" s="144">
        <v>0</v>
      </c>
      <c r="G146" s="144">
        <v>0</v>
      </c>
      <c r="H146" s="150">
        <v>0</v>
      </c>
      <c r="I146" s="567">
        <f t="shared" si="3"/>
        <v>0</v>
      </c>
    </row>
    <row r="147" spans="1:9" x14ac:dyDescent="0.15">
      <c r="A147" s="138"/>
      <c r="B147" s="650" t="s">
        <v>631</v>
      </c>
      <c r="C147" s="651" t="s">
        <v>173</v>
      </c>
      <c r="D147" s="144">
        <v>0</v>
      </c>
      <c r="E147" s="144">
        <v>0</v>
      </c>
      <c r="F147" s="144">
        <v>0</v>
      </c>
      <c r="G147" s="144">
        <v>0</v>
      </c>
      <c r="H147" s="150">
        <v>0</v>
      </c>
      <c r="I147" s="567">
        <f t="shared" si="3"/>
        <v>0</v>
      </c>
    </row>
    <row r="148" spans="1:9" x14ac:dyDescent="0.15">
      <c r="A148" s="138"/>
      <c r="B148" s="521" t="s">
        <v>1584</v>
      </c>
      <c r="C148" s="138" t="s">
        <v>178</v>
      </c>
      <c r="D148" s="144">
        <v>0</v>
      </c>
      <c r="E148" s="144">
        <v>0</v>
      </c>
      <c r="F148" s="144">
        <v>0</v>
      </c>
      <c r="G148" s="144">
        <v>0</v>
      </c>
      <c r="H148" s="150">
        <v>0</v>
      </c>
      <c r="I148" s="567">
        <f t="shared" si="3"/>
        <v>0</v>
      </c>
    </row>
    <row r="149" spans="1:9" x14ac:dyDescent="0.15">
      <c r="A149" s="138"/>
      <c r="B149" s="521" t="s">
        <v>174</v>
      </c>
      <c r="C149" s="138" t="s">
        <v>179</v>
      </c>
      <c r="D149" s="144">
        <v>0</v>
      </c>
      <c r="E149" s="144">
        <v>0</v>
      </c>
      <c r="F149" s="144">
        <v>0</v>
      </c>
      <c r="G149" s="144">
        <v>0</v>
      </c>
      <c r="H149" s="150">
        <v>0</v>
      </c>
      <c r="I149" s="567">
        <f t="shared" si="3"/>
        <v>0</v>
      </c>
    </row>
    <row r="150" spans="1:9" x14ac:dyDescent="0.15">
      <c r="A150" s="138"/>
      <c r="B150" s="521" t="s">
        <v>175</v>
      </c>
      <c r="C150" s="138" t="s">
        <v>180</v>
      </c>
      <c r="D150" s="144">
        <v>0</v>
      </c>
      <c r="E150" s="144">
        <v>0</v>
      </c>
      <c r="F150" s="144">
        <v>0</v>
      </c>
      <c r="G150" s="144">
        <v>0</v>
      </c>
      <c r="H150" s="150">
        <v>0</v>
      </c>
      <c r="I150" s="567">
        <f t="shared" si="3"/>
        <v>0</v>
      </c>
    </row>
    <row r="151" spans="1:9" ht="11.25" thickBot="1" x14ac:dyDescent="0.2">
      <c r="A151" s="138"/>
      <c r="B151" s="521" t="s">
        <v>176</v>
      </c>
      <c r="C151" s="138" t="s">
        <v>181</v>
      </c>
      <c r="D151" s="144">
        <v>0</v>
      </c>
      <c r="E151" s="144">
        <v>0</v>
      </c>
      <c r="F151" s="144">
        <v>0</v>
      </c>
      <c r="G151" s="144">
        <v>0</v>
      </c>
      <c r="H151" s="150">
        <v>0</v>
      </c>
      <c r="I151" s="567">
        <f t="shared" si="3"/>
        <v>0</v>
      </c>
    </row>
    <row r="152" spans="1:9" ht="12" thickTop="1" thickBot="1" x14ac:dyDescent="0.2">
      <c r="A152" s="138"/>
      <c r="B152" s="521"/>
      <c r="C152" s="138" t="s">
        <v>220</v>
      </c>
      <c r="D152" s="169">
        <f>SUM(D119:D151)</f>
        <v>0</v>
      </c>
      <c r="E152" s="169">
        <f>SUM(E119:E151)</f>
        <v>0</v>
      </c>
      <c r="F152" s="169">
        <f>SUM(F119:F151)</f>
        <v>0</v>
      </c>
      <c r="G152" s="169">
        <f>SUM(G119:G151)</f>
        <v>0</v>
      </c>
      <c r="H152" s="169">
        <f>SUM(H119:H151)</f>
        <v>0</v>
      </c>
      <c r="I152" s="169">
        <f t="shared" si="3"/>
        <v>0</v>
      </c>
    </row>
    <row r="153" spans="1:9" ht="11.25" thickTop="1" x14ac:dyDescent="0.15">
      <c r="A153" s="512"/>
      <c r="B153" s="512"/>
      <c r="C153" s="512"/>
      <c r="D153" s="14"/>
      <c r="E153" s="14"/>
      <c r="F153" s="14"/>
      <c r="G153" s="14"/>
      <c r="H153" s="14"/>
      <c r="I153" s="563"/>
    </row>
    <row r="154" spans="1:9" x14ac:dyDescent="0.15">
      <c r="A154" s="512" t="s">
        <v>221</v>
      </c>
      <c r="B154" s="138"/>
      <c r="C154" s="138"/>
      <c r="D154" s="14"/>
      <c r="E154" s="14"/>
      <c r="F154" s="14"/>
      <c r="G154" s="14"/>
      <c r="H154" s="14"/>
      <c r="I154" s="563"/>
    </row>
    <row r="155" spans="1:9" x14ac:dyDescent="0.15">
      <c r="A155" s="434"/>
      <c r="B155" s="523" t="s">
        <v>1577</v>
      </c>
      <c r="C155" s="524" t="s">
        <v>228</v>
      </c>
      <c r="D155" s="316">
        <v>0</v>
      </c>
      <c r="E155" s="316">
        <v>0</v>
      </c>
      <c r="F155" s="316">
        <v>0</v>
      </c>
      <c r="G155" s="528">
        <f t="array" ref="G155">SUM(IF(CertFund&amp;CertProg&amp;CertObj=RIGHT(LEFT($A$2,7),2)&amp;LEFT(A154,4)&amp;B155,CertSalary))</f>
        <v>0</v>
      </c>
      <c r="H155" s="527">
        <v>0</v>
      </c>
      <c r="I155" s="566">
        <f>SUM(G155+H155)</f>
        <v>0</v>
      </c>
    </row>
    <row r="156" spans="1:9" x14ac:dyDescent="0.15">
      <c r="A156" s="434"/>
      <c r="B156" s="523" t="s">
        <v>1577</v>
      </c>
      <c r="C156" s="524" t="s">
        <v>510</v>
      </c>
      <c r="D156" s="316">
        <v>0</v>
      </c>
      <c r="E156" s="316">
        <v>0</v>
      </c>
      <c r="F156" s="316">
        <v>0</v>
      </c>
      <c r="G156" s="316">
        <v>0</v>
      </c>
      <c r="H156" s="527">
        <v>0</v>
      </c>
      <c r="I156" s="566">
        <f>SUM(G156+H156)</f>
        <v>0</v>
      </c>
    </row>
    <row r="157" spans="1:9" x14ac:dyDescent="0.15">
      <c r="A157" s="524"/>
      <c r="B157" s="523" t="s">
        <v>1578</v>
      </c>
      <c r="C157" s="524" t="s">
        <v>936</v>
      </c>
      <c r="D157" s="316">
        <v>0</v>
      </c>
      <c r="E157" s="316">
        <v>0</v>
      </c>
      <c r="F157" s="316">
        <v>0</v>
      </c>
      <c r="G157" s="529">
        <f t="array" ref="G157">SUM(IF(CertFund&amp;CertProg&amp;CertObj=RIGHT(LEFT($A$2,7),2)&amp;LEFT(A154,4)&amp;B155,CertBen))</f>
        <v>0</v>
      </c>
      <c r="H157" s="527">
        <v>0</v>
      </c>
      <c r="I157" s="566">
        <f>SUM(G157+H157)</f>
        <v>0</v>
      </c>
    </row>
    <row r="158" spans="1:9" x14ac:dyDescent="0.15">
      <c r="A158" s="138"/>
      <c r="B158" s="521" t="s">
        <v>1578</v>
      </c>
      <c r="C158" s="138" t="s">
        <v>511</v>
      </c>
      <c r="D158" s="147">
        <v>0</v>
      </c>
      <c r="E158" s="147">
        <v>0</v>
      </c>
      <c r="F158" s="147">
        <v>0</v>
      </c>
      <c r="G158" s="147">
        <v>0</v>
      </c>
      <c r="H158" s="150">
        <v>0</v>
      </c>
      <c r="I158" s="567">
        <f>SUM(G158+H158)</f>
        <v>0</v>
      </c>
    </row>
    <row r="159" spans="1:9" x14ac:dyDescent="0.15">
      <c r="A159" s="138"/>
      <c r="B159" s="521" t="s">
        <v>1579</v>
      </c>
      <c r="C159" s="138" t="s">
        <v>118</v>
      </c>
      <c r="D159" s="144">
        <v>0</v>
      </c>
      <c r="E159" s="144">
        <v>0</v>
      </c>
      <c r="F159" s="144">
        <v>0</v>
      </c>
      <c r="G159" s="291">
        <v>0</v>
      </c>
      <c r="H159" s="150">
        <v>0</v>
      </c>
      <c r="I159" s="567">
        <f t="shared" ref="I159:I188" si="4">SUM(G159+H159)</f>
        <v>0</v>
      </c>
    </row>
    <row r="160" spans="1:9" x14ac:dyDescent="0.15">
      <c r="A160" s="138"/>
      <c r="B160" s="521" t="s">
        <v>1580</v>
      </c>
      <c r="C160" s="138" t="s">
        <v>119</v>
      </c>
      <c r="D160" s="144">
        <v>0</v>
      </c>
      <c r="E160" s="144">
        <v>0</v>
      </c>
      <c r="F160" s="144">
        <v>0</v>
      </c>
      <c r="G160" s="291">
        <v>0</v>
      </c>
      <c r="H160" s="150">
        <v>0</v>
      </c>
      <c r="I160" s="567">
        <f t="shared" si="4"/>
        <v>0</v>
      </c>
    </row>
    <row r="161" spans="1:9" x14ac:dyDescent="0.15">
      <c r="A161" s="138"/>
      <c r="B161" s="521" t="s">
        <v>120</v>
      </c>
      <c r="C161" s="138" t="s">
        <v>121</v>
      </c>
      <c r="D161" s="144">
        <v>0</v>
      </c>
      <c r="E161" s="144">
        <v>0</v>
      </c>
      <c r="F161" s="144">
        <v>0</v>
      </c>
      <c r="G161" s="291">
        <v>0</v>
      </c>
      <c r="H161" s="150">
        <v>0</v>
      </c>
      <c r="I161" s="567">
        <f t="shared" si="4"/>
        <v>0</v>
      </c>
    </row>
    <row r="162" spans="1:9" x14ac:dyDescent="0.15">
      <c r="A162" s="138"/>
      <c r="B162" s="521" t="s">
        <v>122</v>
      </c>
      <c r="C162" s="138" t="s">
        <v>123</v>
      </c>
      <c r="D162" s="144">
        <v>0</v>
      </c>
      <c r="E162" s="144">
        <v>0</v>
      </c>
      <c r="F162" s="144">
        <v>0</v>
      </c>
      <c r="G162" s="291">
        <v>0</v>
      </c>
      <c r="H162" s="150">
        <v>0</v>
      </c>
      <c r="I162" s="567">
        <f t="shared" si="4"/>
        <v>0</v>
      </c>
    </row>
    <row r="163" spans="1:9" x14ac:dyDescent="0.15">
      <c r="A163" s="138"/>
      <c r="B163" s="521" t="s">
        <v>1581</v>
      </c>
      <c r="C163" s="138" t="s">
        <v>124</v>
      </c>
      <c r="D163" s="144">
        <v>0</v>
      </c>
      <c r="E163" s="144">
        <v>0</v>
      </c>
      <c r="F163" s="144">
        <v>0</v>
      </c>
      <c r="G163" s="291">
        <v>0</v>
      </c>
      <c r="H163" s="150">
        <v>0</v>
      </c>
      <c r="I163" s="567">
        <f t="shared" si="4"/>
        <v>0</v>
      </c>
    </row>
    <row r="164" spans="1:9" x14ac:dyDescent="0.15">
      <c r="A164" s="138"/>
      <c r="B164" s="521" t="s">
        <v>127</v>
      </c>
      <c r="C164" s="138" t="s">
        <v>134</v>
      </c>
      <c r="D164" s="144">
        <v>0</v>
      </c>
      <c r="E164" s="144">
        <v>0</v>
      </c>
      <c r="F164" s="144">
        <v>0</v>
      </c>
      <c r="G164" s="291">
        <v>0</v>
      </c>
      <c r="H164" s="150">
        <v>0</v>
      </c>
      <c r="I164" s="567">
        <f t="shared" si="4"/>
        <v>0</v>
      </c>
    </row>
    <row r="165" spans="1:9" x14ac:dyDescent="0.15">
      <c r="A165" s="138"/>
      <c r="B165" s="521" t="s">
        <v>132</v>
      </c>
      <c r="C165" s="138" t="s">
        <v>1617</v>
      </c>
      <c r="D165" s="144">
        <v>0</v>
      </c>
      <c r="E165" s="144">
        <v>0</v>
      </c>
      <c r="F165" s="144">
        <v>0</v>
      </c>
      <c r="G165" s="291">
        <v>0</v>
      </c>
      <c r="H165" s="150">
        <v>0</v>
      </c>
      <c r="I165" s="567">
        <f t="shared" si="4"/>
        <v>0</v>
      </c>
    </row>
    <row r="166" spans="1:9" x14ac:dyDescent="0.15">
      <c r="A166" s="138"/>
      <c r="B166" s="521" t="s">
        <v>1618</v>
      </c>
      <c r="C166" s="138" t="s">
        <v>836</v>
      </c>
      <c r="D166" s="144">
        <v>0</v>
      </c>
      <c r="E166" s="144">
        <v>0</v>
      </c>
      <c r="F166" s="144">
        <v>0</v>
      </c>
      <c r="G166" s="291">
        <v>0</v>
      </c>
      <c r="H166" s="150">
        <v>0</v>
      </c>
      <c r="I166" s="567">
        <f t="shared" si="4"/>
        <v>0</v>
      </c>
    </row>
    <row r="167" spans="1:9" x14ac:dyDescent="0.15">
      <c r="A167" s="138"/>
      <c r="B167" s="521" t="s">
        <v>1619</v>
      </c>
      <c r="C167" s="138" t="s">
        <v>185</v>
      </c>
      <c r="D167" s="144">
        <v>0</v>
      </c>
      <c r="E167" s="144">
        <v>0</v>
      </c>
      <c r="F167" s="144">
        <v>0</v>
      </c>
      <c r="G167" s="291">
        <v>0</v>
      </c>
      <c r="H167" s="150">
        <v>0</v>
      </c>
      <c r="I167" s="567">
        <f t="shared" si="4"/>
        <v>0</v>
      </c>
    </row>
    <row r="168" spans="1:9" x14ac:dyDescent="0.15">
      <c r="A168" s="138"/>
      <c r="B168" s="521" t="s">
        <v>1620</v>
      </c>
      <c r="C168" s="138" t="s">
        <v>838</v>
      </c>
      <c r="D168" s="144">
        <v>0</v>
      </c>
      <c r="E168" s="144">
        <v>0</v>
      </c>
      <c r="F168" s="144">
        <v>0</v>
      </c>
      <c r="G168" s="291">
        <v>0</v>
      </c>
      <c r="H168" s="150">
        <v>0</v>
      </c>
      <c r="I168" s="567">
        <f t="shared" si="4"/>
        <v>0</v>
      </c>
    </row>
    <row r="169" spans="1:9" x14ac:dyDescent="0.15">
      <c r="A169" s="138"/>
      <c r="B169" s="521" t="s">
        <v>1621</v>
      </c>
      <c r="C169" s="138" t="s">
        <v>839</v>
      </c>
      <c r="D169" s="144">
        <v>0</v>
      </c>
      <c r="E169" s="144">
        <v>0</v>
      </c>
      <c r="F169" s="144">
        <v>0</v>
      </c>
      <c r="G169" s="291">
        <v>0</v>
      </c>
      <c r="H169" s="150">
        <v>0</v>
      </c>
      <c r="I169" s="567">
        <f t="shared" si="4"/>
        <v>0</v>
      </c>
    </row>
    <row r="170" spans="1:9" x14ac:dyDescent="0.15">
      <c r="A170" s="138"/>
      <c r="B170" s="521" t="s">
        <v>1622</v>
      </c>
      <c r="C170" s="138" t="s">
        <v>190</v>
      </c>
      <c r="D170" s="144">
        <v>0</v>
      </c>
      <c r="E170" s="144">
        <v>0</v>
      </c>
      <c r="F170" s="144">
        <v>0</v>
      </c>
      <c r="G170" s="291">
        <v>0</v>
      </c>
      <c r="H170" s="150">
        <v>0</v>
      </c>
      <c r="I170" s="567">
        <f t="shared" si="4"/>
        <v>0</v>
      </c>
    </row>
    <row r="171" spans="1:9" x14ac:dyDescent="0.15">
      <c r="A171" s="138"/>
      <c r="B171" s="521" t="s">
        <v>1623</v>
      </c>
      <c r="C171" s="138" t="s">
        <v>191</v>
      </c>
      <c r="D171" s="144">
        <v>0</v>
      </c>
      <c r="E171" s="144">
        <v>0</v>
      </c>
      <c r="F171" s="144">
        <v>0</v>
      </c>
      <c r="G171" s="291">
        <v>0</v>
      </c>
      <c r="H171" s="150">
        <v>0</v>
      </c>
      <c r="I171" s="567">
        <f t="shared" si="4"/>
        <v>0</v>
      </c>
    </row>
    <row r="172" spans="1:9" x14ac:dyDescent="0.15">
      <c r="A172" s="138"/>
      <c r="B172" s="521" t="s">
        <v>1624</v>
      </c>
      <c r="C172" s="138" t="s">
        <v>840</v>
      </c>
      <c r="D172" s="144">
        <v>0</v>
      </c>
      <c r="E172" s="144">
        <v>0</v>
      </c>
      <c r="F172" s="144">
        <v>0</v>
      </c>
      <c r="G172" s="291">
        <v>0</v>
      </c>
      <c r="H172" s="150">
        <v>0</v>
      </c>
      <c r="I172" s="567">
        <f t="shared" si="4"/>
        <v>0</v>
      </c>
    </row>
    <row r="173" spans="1:9" x14ac:dyDescent="0.15">
      <c r="A173" s="138"/>
      <c r="B173" s="521" t="s">
        <v>1625</v>
      </c>
      <c r="C173" s="138" t="s">
        <v>842</v>
      </c>
      <c r="D173" s="144">
        <v>0</v>
      </c>
      <c r="E173" s="144">
        <v>0</v>
      </c>
      <c r="F173" s="144">
        <v>0</v>
      </c>
      <c r="G173" s="291">
        <v>0</v>
      </c>
      <c r="H173" s="150">
        <v>0</v>
      </c>
      <c r="I173" s="567">
        <f t="shared" si="4"/>
        <v>0</v>
      </c>
    </row>
    <row r="174" spans="1:9" x14ac:dyDescent="0.15">
      <c r="A174" s="138"/>
      <c r="B174" s="521" t="s">
        <v>843</v>
      </c>
      <c r="C174" s="138" t="s">
        <v>848</v>
      </c>
      <c r="D174" s="144">
        <v>0</v>
      </c>
      <c r="E174" s="144">
        <v>0</v>
      </c>
      <c r="F174" s="144">
        <v>0</v>
      </c>
      <c r="G174" s="291">
        <v>0</v>
      </c>
      <c r="H174" s="150">
        <v>0</v>
      </c>
      <c r="I174" s="567">
        <f t="shared" si="4"/>
        <v>0</v>
      </c>
    </row>
    <row r="175" spans="1:9" x14ac:dyDescent="0.15">
      <c r="A175" s="138"/>
      <c r="B175" s="521" t="s">
        <v>844</v>
      </c>
      <c r="C175" s="138" t="s">
        <v>186</v>
      </c>
      <c r="D175" s="144">
        <v>0</v>
      </c>
      <c r="E175" s="144">
        <v>0</v>
      </c>
      <c r="F175" s="144">
        <v>0</v>
      </c>
      <c r="G175" s="291">
        <v>0</v>
      </c>
      <c r="H175" s="150">
        <v>0</v>
      </c>
      <c r="I175" s="567">
        <f t="shared" si="4"/>
        <v>0</v>
      </c>
    </row>
    <row r="176" spans="1:9" x14ac:dyDescent="0.15">
      <c r="A176" s="138"/>
      <c r="B176" s="521" t="s">
        <v>845</v>
      </c>
      <c r="C176" s="138" t="s">
        <v>154</v>
      </c>
      <c r="D176" s="144">
        <v>0</v>
      </c>
      <c r="E176" s="144">
        <v>0</v>
      </c>
      <c r="F176" s="144">
        <v>0</v>
      </c>
      <c r="G176" s="291">
        <v>0</v>
      </c>
      <c r="H176" s="150">
        <v>0</v>
      </c>
      <c r="I176" s="567">
        <f t="shared" si="4"/>
        <v>0</v>
      </c>
    </row>
    <row r="177" spans="1:9" x14ac:dyDescent="0.15">
      <c r="A177" s="138"/>
      <c r="B177" s="521" t="s">
        <v>846</v>
      </c>
      <c r="C177" s="138" t="s">
        <v>155</v>
      </c>
      <c r="D177" s="144">
        <v>0</v>
      </c>
      <c r="E177" s="144">
        <v>0</v>
      </c>
      <c r="F177" s="144">
        <v>0</v>
      </c>
      <c r="G177" s="291">
        <v>0</v>
      </c>
      <c r="H177" s="150">
        <v>0</v>
      </c>
      <c r="I177" s="567">
        <f t="shared" si="4"/>
        <v>0</v>
      </c>
    </row>
    <row r="178" spans="1:9" x14ac:dyDescent="0.15">
      <c r="A178" s="138"/>
      <c r="B178" s="521" t="s">
        <v>1582</v>
      </c>
      <c r="C178" s="138" t="s">
        <v>156</v>
      </c>
      <c r="D178" s="144">
        <v>0</v>
      </c>
      <c r="E178" s="144">
        <v>0</v>
      </c>
      <c r="F178" s="144">
        <v>0</v>
      </c>
      <c r="G178" s="291">
        <v>0</v>
      </c>
      <c r="H178" s="150">
        <v>0</v>
      </c>
      <c r="I178" s="567">
        <f t="shared" si="4"/>
        <v>0</v>
      </c>
    </row>
    <row r="179" spans="1:9" x14ac:dyDescent="0.15">
      <c r="A179" s="138"/>
      <c r="B179" s="521" t="s">
        <v>847</v>
      </c>
      <c r="C179" s="138" t="s">
        <v>157</v>
      </c>
      <c r="D179" s="144">
        <v>0</v>
      </c>
      <c r="E179" s="144">
        <v>0</v>
      </c>
      <c r="F179" s="144">
        <v>0</v>
      </c>
      <c r="G179" s="291">
        <v>0</v>
      </c>
      <c r="H179" s="150">
        <v>0</v>
      </c>
      <c r="I179" s="567">
        <f t="shared" si="4"/>
        <v>0</v>
      </c>
    </row>
    <row r="180" spans="1:9" x14ac:dyDescent="0.15">
      <c r="A180" s="138"/>
      <c r="B180" s="521" t="s">
        <v>1583</v>
      </c>
      <c r="C180" s="138" t="s">
        <v>160</v>
      </c>
      <c r="D180" s="144">
        <v>0</v>
      </c>
      <c r="E180" s="144">
        <v>0</v>
      </c>
      <c r="F180" s="144">
        <v>0</v>
      </c>
      <c r="G180" s="291">
        <v>0</v>
      </c>
      <c r="H180" s="150">
        <v>0</v>
      </c>
      <c r="I180" s="567">
        <f t="shared" si="4"/>
        <v>0</v>
      </c>
    </row>
    <row r="181" spans="1:9" x14ac:dyDescent="0.15">
      <c r="A181" s="138"/>
      <c r="B181" s="521" t="s">
        <v>634</v>
      </c>
      <c r="C181" s="138" t="s">
        <v>165</v>
      </c>
      <c r="D181" s="144">
        <v>0</v>
      </c>
      <c r="E181" s="144">
        <v>0</v>
      </c>
      <c r="F181" s="144">
        <v>0</v>
      </c>
      <c r="G181" s="291">
        <v>0</v>
      </c>
      <c r="H181" s="150">
        <v>0</v>
      </c>
      <c r="I181" s="567">
        <f t="shared" si="4"/>
        <v>0</v>
      </c>
    </row>
    <row r="182" spans="1:9" x14ac:dyDescent="0.15">
      <c r="A182" s="138"/>
      <c r="B182" s="521" t="s">
        <v>630</v>
      </c>
      <c r="C182" s="138" t="s">
        <v>172</v>
      </c>
      <c r="D182" s="144">
        <v>0</v>
      </c>
      <c r="E182" s="144">
        <v>0</v>
      </c>
      <c r="F182" s="144">
        <v>0</v>
      </c>
      <c r="G182" s="291">
        <v>0</v>
      </c>
      <c r="H182" s="150">
        <v>0</v>
      </c>
      <c r="I182" s="567">
        <f t="shared" si="4"/>
        <v>0</v>
      </c>
    </row>
    <row r="183" spans="1:9" x14ac:dyDescent="0.15">
      <c r="A183" s="138"/>
      <c r="B183" s="650" t="s">
        <v>631</v>
      </c>
      <c r="C183" s="651" t="s">
        <v>173</v>
      </c>
      <c r="D183" s="144">
        <v>0</v>
      </c>
      <c r="E183" s="144">
        <v>0</v>
      </c>
      <c r="F183" s="144">
        <v>0</v>
      </c>
      <c r="G183" s="291">
        <v>0</v>
      </c>
      <c r="H183" s="150">
        <v>0</v>
      </c>
      <c r="I183" s="567">
        <f t="shared" si="4"/>
        <v>0</v>
      </c>
    </row>
    <row r="184" spans="1:9" x14ac:dyDescent="0.15">
      <c r="A184" s="138"/>
      <c r="B184" s="521" t="s">
        <v>1584</v>
      </c>
      <c r="C184" s="138" t="s">
        <v>178</v>
      </c>
      <c r="D184" s="144">
        <v>0</v>
      </c>
      <c r="E184" s="144">
        <v>0</v>
      </c>
      <c r="F184" s="144">
        <v>0</v>
      </c>
      <c r="G184" s="291">
        <v>0</v>
      </c>
      <c r="H184" s="150">
        <v>0</v>
      </c>
      <c r="I184" s="567">
        <f t="shared" si="4"/>
        <v>0</v>
      </c>
    </row>
    <row r="185" spans="1:9" x14ac:dyDescent="0.15">
      <c r="A185" s="138"/>
      <c r="B185" s="521" t="s">
        <v>174</v>
      </c>
      <c r="C185" s="138" t="s">
        <v>179</v>
      </c>
      <c r="D185" s="144">
        <v>0</v>
      </c>
      <c r="E185" s="144">
        <v>0</v>
      </c>
      <c r="F185" s="144">
        <v>0</v>
      </c>
      <c r="G185" s="291">
        <v>0</v>
      </c>
      <c r="H185" s="150">
        <v>0</v>
      </c>
      <c r="I185" s="567">
        <f t="shared" si="4"/>
        <v>0</v>
      </c>
    </row>
    <row r="186" spans="1:9" x14ac:dyDescent="0.15">
      <c r="A186" s="138"/>
      <c r="B186" s="521" t="s">
        <v>175</v>
      </c>
      <c r="C186" s="138" t="s">
        <v>180</v>
      </c>
      <c r="D186" s="144">
        <v>0</v>
      </c>
      <c r="E186" s="144">
        <v>0</v>
      </c>
      <c r="F186" s="144">
        <v>0</v>
      </c>
      <c r="G186" s="291">
        <v>0</v>
      </c>
      <c r="H186" s="150">
        <v>0</v>
      </c>
      <c r="I186" s="567">
        <f t="shared" si="4"/>
        <v>0</v>
      </c>
    </row>
    <row r="187" spans="1:9" ht="11.25" thickBot="1" x14ac:dyDescent="0.2">
      <c r="A187" s="138"/>
      <c r="B187" s="521" t="s">
        <v>176</v>
      </c>
      <c r="C187" s="138" t="s">
        <v>181</v>
      </c>
      <c r="D187" s="144">
        <v>0</v>
      </c>
      <c r="E187" s="144">
        <v>0</v>
      </c>
      <c r="F187" s="144">
        <v>0</v>
      </c>
      <c r="G187" s="291">
        <v>0</v>
      </c>
      <c r="H187" s="150">
        <v>0</v>
      </c>
      <c r="I187" s="567">
        <f t="shared" si="4"/>
        <v>0</v>
      </c>
    </row>
    <row r="188" spans="1:9" ht="12" thickTop="1" thickBot="1" x14ac:dyDescent="0.2">
      <c r="A188" s="138"/>
      <c r="B188" s="521"/>
      <c r="C188" s="138" t="s">
        <v>222</v>
      </c>
      <c r="D188" s="169">
        <f>SUM(D155:D187)</f>
        <v>0</v>
      </c>
      <c r="E188" s="169">
        <f>SUM(E155:E187)</f>
        <v>0</v>
      </c>
      <c r="F188" s="169">
        <f>SUM(F155:F187)</f>
        <v>0</v>
      </c>
      <c r="G188" s="169">
        <f>SUM(G155:G187)</f>
        <v>0</v>
      </c>
      <c r="H188" s="169">
        <f>SUM(H155:H187)</f>
        <v>0</v>
      </c>
      <c r="I188" s="169">
        <f t="shared" si="4"/>
        <v>0</v>
      </c>
    </row>
    <row r="189" spans="1:9" ht="11.25" thickTop="1" x14ac:dyDescent="0.15">
      <c r="A189" s="512"/>
      <c r="B189" s="138"/>
      <c r="C189" s="138"/>
      <c r="D189" s="14"/>
      <c r="E189" s="14"/>
      <c r="F189" s="14"/>
      <c r="G189" s="14"/>
      <c r="H189" s="14"/>
      <c r="I189" s="563"/>
    </row>
    <row r="190" spans="1:9" x14ac:dyDescent="0.15">
      <c r="A190" s="512" t="s">
        <v>260</v>
      </c>
      <c r="B190" s="138"/>
      <c r="C190" s="138"/>
      <c r="D190" s="14"/>
      <c r="E190" s="14"/>
      <c r="F190" s="14"/>
      <c r="G190" s="14"/>
      <c r="H190" s="14"/>
      <c r="I190" s="563"/>
    </row>
    <row r="191" spans="1:9" x14ac:dyDescent="0.15">
      <c r="A191" s="434"/>
      <c r="B191" s="523" t="s">
        <v>1577</v>
      </c>
      <c r="C191" s="524" t="s">
        <v>228</v>
      </c>
      <c r="D191" s="316">
        <v>0</v>
      </c>
      <c r="E191" s="316">
        <v>0</v>
      </c>
      <c r="F191" s="316">
        <v>0</v>
      </c>
      <c r="G191" s="528">
        <f t="array" ref="G191">SUM(IF(CertFund&amp;CertProg&amp;CertObj=RIGHT(LEFT($A$2,7),2)&amp;LEFT(A190,4)&amp;B191,CertSalary))</f>
        <v>0</v>
      </c>
      <c r="H191" s="527">
        <v>0</v>
      </c>
      <c r="I191" s="566">
        <f>SUM(G191+H191)</f>
        <v>0</v>
      </c>
    </row>
    <row r="192" spans="1:9" x14ac:dyDescent="0.15">
      <c r="A192" s="434"/>
      <c r="B192" s="523" t="s">
        <v>1577</v>
      </c>
      <c r="C192" s="524" t="s">
        <v>510</v>
      </c>
      <c r="D192" s="316">
        <v>0</v>
      </c>
      <c r="E192" s="316">
        <v>0</v>
      </c>
      <c r="F192" s="316">
        <v>0</v>
      </c>
      <c r="G192" s="316">
        <v>0</v>
      </c>
      <c r="H192" s="527">
        <v>0</v>
      </c>
      <c r="I192" s="566">
        <f>SUM(G192+H192)</f>
        <v>0</v>
      </c>
    </row>
    <row r="193" spans="1:9" x14ac:dyDescent="0.15">
      <c r="A193" s="524"/>
      <c r="B193" s="523" t="s">
        <v>1578</v>
      </c>
      <c r="C193" s="524" t="s">
        <v>936</v>
      </c>
      <c r="D193" s="316">
        <v>0</v>
      </c>
      <c r="E193" s="316">
        <v>0</v>
      </c>
      <c r="F193" s="316">
        <v>0</v>
      </c>
      <c r="G193" s="529">
        <f t="array" ref="G193">SUM(IF(CertFund&amp;CertProg&amp;CertObj=RIGHT(LEFT($A$2,7),2)&amp;LEFT(A190,4)&amp;B191,CertBen))</f>
        <v>0</v>
      </c>
      <c r="H193" s="527">
        <v>0</v>
      </c>
      <c r="I193" s="566">
        <f>SUM(G193+H193)</f>
        <v>0</v>
      </c>
    </row>
    <row r="194" spans="1:9" x14ac:dyDescent="0.15">
      <c r="A194" s="138"/>
      <c r="B194" s="521" t="s">
        <v>1578</v>
      </c>
      <c r="C194" s="138" t="s">
        <v>511</v>
      </c>
      <c r="D194" s="147">
        <v>0</v>
      </c>
      <c r="E194" s="147">
        <v>0</v>
      </c>
      <c r="F194" s="147">
        <v>0</v>
      </c>
      <c r="G194" s="147">
        <v>0</v>
      </c>
      <c r="H194" s="150">
        <v>0</v>
      </c>
      <c r="I194" s="567">
        <f>SUM(G194+H194)</f>
        <v>0</v>
      </c>
    </row>
    <row r="195" spans="1:9" x14ac:dyDescent="0.15">
      <c r="A195" s="138"/>
      <c r="B195" s="521" t="s">
        <v>1579</v>
      </c>
      <c r="C195" s="138" t="s">
        <v>118</v>
      </c>
      <c r="D195" s="144">
        <v>0</v>
      </c>
      <c r="E195" s="144">
        <v>0</v>
      </c>
      <c r="F195" s="144">
        <v>0</v>
      </c>
      <c r="G195" s="291">
        <v>0</v>
      </c>
      <c r="H195" s="150">
        <v>0</v>
      </c>
      <c r="I195" s="567">
        <f t="shared" ref="I195:I222" si="5">SUM(G195+H195)</f>
        <v>0</v>
      </c>
    </row>
    <row r="196" spans="1:9" x14ac:dyDescent="0.15">
      <c r="A196" s="138"/>
      <c r="B196" s="521" t="s">
        <v>1580</v>
      </c>
      <c r="C196" s="138" t="s">
        <v>119</v>
      </c>
      <c r="D196" s="144">
        <v>0</v>
      </c>
      <c r="E196" s="144">
        <v>0</v>
      </c>
      <c r="F196" s="144">
        <v>0</v>
      </c>
      <c r="G196" s="291">
        <v>0</v>
      </c>
      <c r="H196" s="150">
        <v>0</v>
      </c>
      <c r="I196" s="567">
        <f t="shared" si="5"/>
        <v>0</v>
      </c>
    </row>
    <row r="197" spans="1:9" x14ac:dyDescent="0.15">
      <c r="A197" s="138"/>
      <c r="B197" s="521" t="s">
        <v>120</v>
      </c>
      <c r="C197" s="138" t="s">
        <v>121</v>
      </c>
      <c r="D197" s="144">
        <v>0</v>
      </c>
      <c r="E197" s="144">
        <v>0</v>
      </c>
      <c r="F197" s="144">
        <v>0</v>
      </c>
      <c r="G197" s="291">
        <v>0</v>
      </c>
      <c r="H197" s="150">
        <v>0</v>
      </c>
      <c r="I197" s="567">
        <f t="shared" si="5"/>
        <v>0</v>
      </c>
    </row>
    <row r="198" spans="1:9" x14ac:dyDescent="0.15">
      <c r="A198" s="138"/>
      <c r="B198" s="521" t="s">
        <v>122</v>
      </c>
      <c r="C198" s="138" t="s">
        <v>123</v>
      </c>
      <c r="D198" s="144">
        <v>0</v>
      </c>
      <c r="E198" s="144">
        <v>0</v>
      </c>
      <c r="F198" s="144">
        <v>0</v>
      </c>
      <c r="G198" s="291">
        <v>0</v>
      </c>
      <c r="H198" s="150">
        <v>0</v>
      </c>
      <c r="I198" s="567">
        <f t="shared" si="5"/>
        <v>0</v>
      </c>
    </row>
    <row r="199" spans="1:9" x14ac:dyDescent="0.15">
      <c r="A199" s="138"/>
      <c r="B199" s="521" t="s">
        <v>1581</v>
      </c>
      <c r="C199" s="138" t="s">
        <v>124</v>
      </c>
      <c r="D199" s="144">
        <v>0</v>
      </c>
      <c r="E199" s="144">
        <v>0</v>
      </c>
      <c r="F199" s="144">
        <v>0</v>
      </c>
      <c r="G199" s="291">
        <v>0</v>
      </c>
      <c r="H199" s="150">
        <v>0</v>
      </c>
      <c r="I199" s="567">
        <f t="shared" si="5"/>
        <v>0</v>
      </c>
    </row>
    <row r="200" spans="1:9" x14ac:dyDescent="0.15">
      <c r="A200" s="138"/>
      <c r="B200" s="521" t="s">
        <v>127</v>
      </c>
      <c r="C200" s="138" t="s">
        <v>134</v>
      </c>
      <c r="D200" s="144">
        <v>0</v>
      </c>
      <c r="E200" s="144">
        <v>0</v>
      </c>
      <c r="F200" s="144">
        <v>0</v>
      </c>
      <c r="G200" s="291">
        <v>0</v>
      </c>
      <c r="H200" s="150">
        <v>0</v>
      </c>
      <c r="I200" s="567">
        <f t="shared" si="5"/>
        <v>0</v>
      </c>
    </row>
    <row r="201" spans="1:9" x14ac:dyDescent="0.15">
      <c r="A201" s="138"/>
      <c r="B201" s="521" t="s">
        <v>132</v>
      </c>
      <c r="C201" s="138" t="s">
        <v>1617</v>
      </c>
      <c r="D201" s="144">
        <v>0</v>
      </c>
      <c r="E201" s="144">
        <v>0</v>
      </c>
      <c r="F201" s="144">
        <v>0</v>
      </c>
      <c r="G201" s="291">
        <v>0</v>
      </c>
      <c r="H201" s="150">
        <v>0</v>
      </c>
      <c r="I201" s="567">
        <f t="shared" si="5"/>
        <v>0</v>
      </c>
    </row>
    <row r="202" spans="1:9" x14ac:dyDescent="0.15">
      <c r="A202" s="138"/>
      <c r="B202" s="521" t="s">
        <v>1618</v>
      </c>
      <c r="C202" s="138" t="s">
        <v>836</v>
      </c>
      <c r="D202" s="144">
        <v>0</v>
      </c>
      <c r="E202" s="144">
        <v>0</v>
      </c>
      <c r="F202" s="144">
        <v>0</v>
      </c>
      <c r="G202" s="291">
        <v>0</v>
      </c>
      <c r="H202" s="150">
        <v>0</v>
      </c>
      <c r="I202" s="567">
        <f t="shared" si="5"/>
        <v>0</v>
      </c>
    </row>
    <row r="203" spans="1:9" x14ac:dyDescent="0.15">
      <c r="A203" s="138"/>
      <c r="B203" s="521" t="s">
        <v>1619</v>
      </c>
      <c r="C203" s="138" t="s">
        <v>185</v>
      </c>
      <c r="D203" s="144">
        <v>0</v>
      </c>
      <c r="E203" s="144">
        <v>0</v>
      </c>
      <c r="F203" s="144">
        <v>0</v>
      </c>
      <c r="G203" s="291">
        <v>0</v>
      </c>
      <c r="H203" s="150">
        <v>0</v>
      </c>
      <c r="I203" s="567">
        <f t="shared" si="5"/>
        <v>0</v>
      </c>
    </row>
    <row r="204" spans="1:9" x14ac:dyDescent="0.15">
      <c r="A204" s="138"/>
      <c r="B204" s="521" t="s">
        <v>1620</v>
      </c>
      <c r="C204" s="138" t="s">
        <v>838</v>
      </c>
      <c r="D204" s="144">
        <v>0</v>
      </c>
      <c r="E204" s="144">
        <v>0</v>
      </c>
      <c r="F204" s="144">
        <v>0</v>
      </c>
      <c r="G204" s="291">
        <v>0</v>
      </c>
      <c r="H204" s="150">
        <v>0</v>
      </c>
      <c r="I204" s="567">
        <f t="shared" si="5"/>
        <v>0</v>
      </c>
    </row>
    <row r="205" spans="1:9" x14ac:dyDescent="0.15">
      <c r="A205" s="138"/>
      <c r="B205" s="521" t="s">
        <v>1621</v>
      </c>
      <c r="C205" s="138" t="s">
        <v>839</v>
      </c>
      <c r="D205" s="144">
        <v>0</v>
      </c>
      <c r="E205" s="144">
        <v>0</v>
      </c>
      <c r="F205" s="144">
        <v>0</v>
      </c>
      <c r="G205" s="291">
        <v>0</v>
      </c>
      <c r="H205" s="150">
        <v>0</v>
      </c>
      <c r="I205" s="567">
        <f t="shared" si="5"/>
        <v>0</v>
      </c>
    </row>
    <row r="206" spans="1:9" x14ac:dyDescent="0.15">
      <c r="A206" s="138"/>
      <c r="B206" s="521" t="s">
        <v>1622</v>
      </c>
      <c r="C206" s="138" t="s">
        <v>190</v>
      </c>
      <c r="D206" s="144">
        <v>0</v>
      </c>
      <c r="E206" s="144">
        <v>0</v>
      </c>
      <c r="F206" s="144">
        <v>0</v>
      </c>
      <c r="G206" s="291">
        <v>0</v>
      </c>
      <c r="H206" s="150">
        <v>0</v>
      </c>
      <c r="I206" s="567">
        <f t="shared" si="5"/>
        <v>0</v>
      </c>
    </row>
    <row r="207" spans="1:9" x14ac:dyDescent="0.15">
      <c r="A207" s="138"/>
      <c r="B207" s="521" t="s">
        <v>1624</v>
      </c>
      <c r="C207" s="138" t="s">
        <v>840</v>
      </c>
      <c r="D207" s="144">
        <v>0</v>
      </c>
      <c r="E207" s="144">
        <v>0</v>
      </c>
      <c r="F207" s="144">
        <v>0</v>
      </c>
      <c r="G207" s="291">
        <v>0</v>
      </c>
      <c r="H207" s="150">
        <v>0</v>
      </c>
      <c r="I207" s="567">
        <f t="shared" si="5"/>
        <v>0</v>
      </c>
    </row>
    <row r="208" spans="1:9" x14ac:dyDescent="0.15">
      <c r="A208" s="138"/>
      <c r="B208" s="521" t="s">
        <v>1625</v>
      </c>
      <c r="C208" s="138" t="s">
        <v>842</v>
      </c>
      <c r="D208" s="144">
        <v>0</v>
      </c>
      <c r="E208" s="144">
        <v>0</v>
      </c>
      <c r="F208" s="144">
        <v>0</v>
      </c>
      <c r="G208" s="291">
        <v>0</v>
      </c>
      <c r="H208" s="150">
        <v>0</v>
      </c>
      <c r="I208" s="567">
        <f t="shared" si="5"/>
        <v>0</v>
      </c>
    </row>
    <row r="209" spans="1:9" x14ac:dyDescent="0.15">
      <c r="A209" s="138"/>
      <c r="B209" s="521" t="s">
        <v>843</v>
      </c>
      <c r="C209" s="138" t="s">
        <v>848</v>
      </c>
      <c r="D209" s="144">
        <v>0</v>
      </c>
      <c r="E209" s="144">
        <v>0</v>
      </c>
      <c r="F209" s="144">
        <v>0</v>
      </c>
      <c r="G209" s="291">
        <v>0</v>
      </c>
      <c r="H209" s="150">
        <v>0</v>
      </c>
      <c r="I209" s="567">
        <f t="shared" si="5"/>
        <v>0</v>
      </c>
    </row>
    <row r="210" spans="1:9" x14ac:dyDescent="0.15">
      <c r="A210" s="138"/>
      <c r="B210" s="521" t="s">
        <v>844</v>
      </c>
      <c r="C210" s="138" t="s">
        <v>186</v>
      </c>
      <c r="D210" s="144">
        <v>0</v>
      </c>
      <c r="E210" s="144">
        <v>0</v>
      </c>
      <c r="F210" s="144">
        <v>0</v>
      </c>
      <c r="G210" s="291">
        <v>0</v>
      </c>
      <c r="H210" s="150">
        <v>0</v>
      </c>
      <c r="I210" s="567">
        <f t="shared" si="5"/>
        <v>0</v>
      </c>
    </row>
    <row r="211" spans="1:9" x14ac:dyDescent="0.15">
      <c r="A211" s="138"/>
      <c r="B211" s="521" t="s">
        <v>845</v>
      </c>
      <c r="C211" s="138" t="s">
        <v>154</v>
      </c>
      <c r="D211" s="144">
        <v>0</v>
      </c>
      <c r="E211" s="144">
        <v>0</v>
      </c>
      <c r="F211" s="144">
        <v>0</v>
      </c>
      <c r="G211" s="291">
        <v>0</v>
      </c>
      <c r="H211" s="150">
        <v>0</v>
      </c>
      <c r="I211" s="567">
        <f t="shared" si="5"/>
        <v>0</v>
      </c>
    </row>
    <row r="212" spans="1:9" x14ac:dyDescent="0.15">
      <c r="A212" s="138"/>
      <c r="B212" s="521" t="s">
        <v>846</v>
      </c>
      <c r="C212" s="138" t="s">
        <v>155</v>
      </c>
      <c r="D212" s="144">
        <v>0</v>
      </c>
      <c r="E212" s="144">
        <v>0</v>
      </c>
      <c r="F212" s="144">
        <v>0</v>
      </c>
      <c r="G212" s="291">
        <v>0</v>
      </c>
      <c r="H212" s="150">
        <v>0</v>
      </c>
      <c r="I212" s="567">
        <f t="shared" si="5"/>
        <v>0</v>
      </c>
    </row>
    <row r="213" spans="1:9" x14ac:dyDescent="0.15">
      <c r="A213" s="138"/>
      <c r="B213" s="521" t="s">
        <v>1582</v>
      </c>
      <c r="C213" s="138" t="s">
        <v>156</v>
      </c>
      <c r="D213" s="144">
        <v>0</v>
      </c>
      <c r="E213" s="144">
        <v>0</v>
      </c>
      <c r="F213" s="144">
        <v>0</v>
      </c>
      <c r="G213" s="291">
        <v>0</v>
      </c>
      <c r="H213" s="150">
        <v>0</v>
      </c>
      <c r="I213" s="567">
        <f t="shared" si="5"/>
        <v>0</v>
      </c>
    </row>
    <row r="214" spans="1:9" x14ac:dyDescent="0.15">
      <c r="A214" s="138"/>
      <c r="B214" s="521" t="s">
        <v>847</v>
      </c>
      <c r="C214" s="138" t="s">
        <v>157</v>
      </c>
      <c r="D214" s="144">
        <v>0</v>
      </c>
      <c r="E214" s="144">
        <v>0</v>
      </c>
      <c r="F214" s="144">
        <v>0</v>
      </c>
      <c r="G214" s="291">
        <v>0</v>
      </c>
      <c r="H214" s="150">
        <v>0</v>
      </c>
      <c r="I214" s="567">
        <f t="shared" si="5"/>
        <v>0</v>
      </c>
    </row>
    <row r="215" spans="1:9" x14ac:dyDescent="0.15">
      <c r="A215" s="138"/>
      <c r="B215" s="521" t="s">
        <v>1583</v>
      </c>
      <c r="C215" s="138" t="s">
        <v>160</v>
      </c>
      <c r="D215" s="144">
        <v>0</v>
      </c>
      <c r="E215" s="144">
        <v>0</v>
      </c>
      <c r="F215" s="144">
        <v>0</v>
      </c>
      <c r="G215" s="291">
        <v>0</v>
      </c>
      <c r="H215" s="150">
        <v>0</v>
      </c>
      <c r="I215" s="567">
        <f t="shared" si="5"/>
        <v>0</v>
      </c>
    </row>
    <row r="216" spans="1:9" x14ac:dyDescent="0.15">
      <c r="A216" s="138"/>
      <c r="B216" s="521" t="s">
        <v>634</v>
      </c>
      <c r="C216" s="138" t="s">
        <v>165</v>
      </c>
      <c r="D216" s="144">
        <v>0</v>
      </c>
      <c r="E216" s="144">
        <v>0</v>
      </c>
      <c r="F216" s="144">
        <v>0</v>
      </c>
      <c r="G216" s="291">
        <v>0</v>
      </c>
      <c r="H216" s="150">
        <v>0</v>
      </c>
      <c r="I216" s="567">
        <f t="shared" si="5"/>
        <v>0</v>
      </c>
    </row>
    <row r="217" spans="1:9" x14ac:dyDescent="0.15">
      <c r="A217" s="138"/>
      <c r="B217" s="521" t="s">
        <v>630</v>
      </c>
      <c r="C217" s="138" t="s">
        <v>172</v>
      </c>
      <c r="D217" s="144">
        <v>0</v>
      </c>
      <c r="E217" s="144">
        <v>0</v>
      </c>
      <c r="F217" s="144">
        <v>0</v>
      </c>
      <c r="G217" s="291">
        <v>0</v>
      </c>
      <c r="H217" s="150">
        <v>0</v>
      </c>
      <c r="I217" s="567">
        <f t="shared" si="5"/>
        <v>0</v>
      </c>
    </row>
    <row r="218" spans="1:9" x14ac:dyDescent="0.15">
      <c r="A218" s="138"/>
      <c r="B218" s="650" t="s">
        <v>631</v>
      </c>
      <c r="C218" s="651" t="s">
        <v>173</v>
      </c>
      <c r="D218" s="144">
        <v>0</v>
      </c>
      <c r="E218" s="144">
        <v>0</v>
      </c>
      <c r="F218" s="144">
        <v>0</v>
      </c>
      <c r="G218" s="291">
        <v>0</v>
      </c>
      <c r="H218" s="150">
        <v>0</v>
      </c>
      <c r="I218" s="567">
        <f t="shared" si="5"/>
        <v>0</v>
      </c>
    </row>
    <row r="219" spans="1:9" x14ac:dyDescent="0.15">
      <c r="A219" s="138"/>
      <c r="B219" s="521" t="s">
        <v>1584</v>
      </c>
      <c r="C219" s="138" t="s">
        <v>178</v>
      </c>
      <c r="D219" s="144">
        <v>0</v>
      </c>
      <c r="E219" s="144">
        <v>0</v>
      </c>
      <c r="F219" s="144">
        <v>0</v>
      </c>
      <c r="G219" s="291">
        <v>0</v>
      </c>
      <c r="H219" s="150">
        <v>0</v>
      </c>
      <c r="I219" s="567">
        <f t="shared" si="5"/>
        <v>0</v>
      </c>
    </row>
    <row r="220" spans="1:9" x14ac:dyDescent="0.15">
      <c r="A220" s="138"/>
      <c r="B220" s="521" t="s">
        <v>174</v>
      </c>
      <c r="C220" s="138" t="s">
        <v>179</v>
      </c>
      <c r="D220" s="144">
        <v>0</v>
      </c>
      <c r="E220" s="144">
        <v>0</v>
      </c>
      <c r="F220" s="144">
        <v>0</v>
      </c>
      <c r="G220" s="291">
        <v>0</v>
      </c>
      <c r="H220" s="150">
        <v>0</v>
      </c>
      <c r="I220" s="567">
        <f t="shared" si="5"/>
        <v>0</v>
      </c>
    </row>
    <row r="221" spans="1:9" x14ac:dyDescent="0.15">
      <c r="A221" s="138"/>
      <c r="B221" s="521" t="s">
        <v>175</v>
      </c>
      <c r="C221" s="138" t="s">
        <v>180</v>
      </c>
      <c r="D221" s="144">
        <v>0</v>
      </c>
      <c r="E221" s="144">
        <v>0</v>
      </c>
      <c r="F221" s="144">
        <v>0</v>
      </c>
      <c r="G221" s="291">
        <v>0</v>
      </c>
      <c r="H221" s="150">
        <v>0</v>
      </c>
      <c r="I221" s="567">
        <f t="shared" si="5"/>
        <v>0</v>
      </c>
    </row>
    <row r="222" spans="1:9" ht="11.25" thickBot="1" x14ac:dyDescent="0.2">
      <c r="A222" s="138"/>
      <c r="B222" s="521" t="s">
        <v>176</v>
      </c>
      <c r="C222" s="138" t="s">
        <v>181</v>
      </c>
      <c r="D222" s="144">
        <v>0</v>
      </c>
      <c r="E222" s="144">
        <v>0</v>
      </c>
      <c r="F222" s="144">
        <v>0</v>
      </c>
      <c r="G222" s="291">
        <v>0</v>
      </c>
      <c r="H222" s="150">
        <v>0</v>
      </c>
      <c r="I222" s="567">
        <f t="shared" si="5"/>
        <v>0</v>
      </c>
    </row>
    <row r="223" spans="1:9" ht="12" thickTop="1" thickBot="1" x14ac:dyDescent="0.2">
      <c r="A223" s="138"/>
      <c r="B223" s="521"/>
      <c r="C223" s="138" t="s">
        <v>261</v>
      </c>
      <c r="D223" s="169">
        <f>SUM(D191:D222)</f>
        <v>0</v>
      </c>
      <c r="E223" s="169">
        <f>SUM(E191:E222)</f>
        <v>0</v>
      </c>
      <c r="F223" s="169">
        <f>SUM(F191:F222)</f>
        <v>0</v>
      </c>
      <c r="G223" s="169">
        <f>SUM(G191:G222)</f>
        <v>0</v>
      </c>
      <c r="H223" s="169">
        <f>SUM(H191:H222)</f>
        <v>0</v>
      </c>
      <c r="I223" s="565">
        <f>SUM(G223+H223)</f>
        <v>0</v>
      </c>
    </row>
    <row r="224" spans="1:9" ht="11.25" thickTop="1" x14ac:dyDescent="0.15">
      <c r="A224" s="138"/>
      <c r="B224" s="521"/>
      <c r="C224" s="138"/>
      <c r="D224" s="198"/>
      <c r="E224" s="198"/>
      <c r="F224" s="198"/>
      <c r="G224" s="198"/>
      <c r="H224" s="14"/>
      <c r="I224" s="563"/>
    </row>
    <row r="225" spans="1:9" x14ac:dyDescent="0.15">
      <c r="A225" s="512" t="s">
        <v>223</v>
      </c>
      <c r="B225" s="512"/>
      <c r="C225" s="512"/>
      <c r="D225" s="14"/>
      <c r="E225" s="14"/>
      <c r="F225" s="14"/>
      <c r="G225" s="14"/>
      <c r="H225" s="14"/>
      <c r="I225" s="563"/>
    </row>
    <row r="226" spans="1:9" x14ac:dyDescent="0.15">
      <c r="A226" s="434"/>
      <c r="B226" s="523" t="s">
        <v>1577</v>
      </c>
      <c r="C226" s="524" t="s">
        <v>228</v>
      </c>
      <c r="D226" s="316">
        <v>0</v>
      </c>
      <c r="E226" s="316">
        <v>0</v>
      </c>
      <c r="F226" s="316">
        <v>0</v>
      </c>
      <c r="G226" s="528">
        <f t="array" ref="G226">SUM(IF(CertFund&amp;CertProg&amp;CertObj=RIGHT(LEFT($A$2,7),2)&amp;LEFT(A225,4)&amp;B226,CertSalary))</f>
        <v>0</v>
      </c>
      <c r="H226" s="527">
        <v>0</v>
      </c>
      <c r="I226" s="566">
        <f>SUM(G226+H226)</f>
        <v>0</v>
      </c>
    </row>
    <row r="227" spans="1:9" x14ac:dyDescent="0.15">
      <c r="A227" s="434"/>
      <c r="B227" s="523" t="s">
        <v>1577</v>
      </c>
      <c r="C227" s="524" t="s">
        <v>510</v>
      </c>
      <c r="D227" s="316">
        <v>0</v>
      </c>
      <c r="E227" s="316">
        <v>0</v>
      </c>
      <c r="F227" s="316">
        <v>0</v>
      </c>
      <c r="G227" s="316">
        <v>0</v>
      </c>
      <c r="H227" s="527">
        <v>0</v>
      </c>
      <c r="I227" s="566">
        <f>SUM(G227+H227)</f>
        <v>0</v>
      </c>
    </row>
    <row r="228" spans="1:9" x14ac:dyDescent="0.15">
      <c r="A228" s="524"/>
      <c r="B228" s="523" t="s">
        <v>1578</v>
      </c>
      <c r="C228" s="524" t="s">
        <v>936</v>
      </c>
      <c r="D228" s="316">
        <v>0</v>
      </c>
      <c r="E228" s="316">
        <v>0</v>
      </c>
      <c r="F228" s="316">
        <v>0</v>
      </c>
      <c r="G228" s="529">
        <f t="array" ref="G228">SUM(IF(CertFund&amp;CertProg&amp;CertObj=RIGHT(LEFT($A$2,7),2)&amp;LEFT(A225,4)&amp;B226,CertBen))</f>
        <v>0</v>
      </c>
      <c r="H228" s="527">
        <v>0</v>
      </c>
      <c r="I228" s="566">
        <f>SUM(G228+H228)</f>
        <v>0</v>
      </c>
    </row>
    <row r="229" spans="1:9" x14ac:dyDescent="0.15">
      <c r="A229" s="524"/>
      <c r="B229" s="523" t="s">
        <v>1578</v>
      </c>
      <c r="C229" s="524" t="s">
        <v>511</v>
      </c>
      <c r="D229" s="316">
        <v>0</v>
      </c>
      <c r="E229" s="316">
        <v>0</v>
      </c>
      <c r="F229" s="316">
        <v>0</v>
      </c>
      <c r="G229" s="316">
        <v>0</v>
      </c>
      <c r="H229" s="527">
        <v>0</v>
      </c>
      <c r="I229" s="566">
        <f>SUM(G229+H229)</f>
        <v>0</v>
      </c>
    </row>
    <row r="230" spans="1:9" x14ac:dyDescent="0.15">
      <c r="A230" s="138"/>
      <c r="B230" s="521" t="s">
        <v>1579</v>
      </c>
      <c r="C230" s="138" t="s">
        <v>118</v>
      </c>
      <c r="D230" s="144">
        <v>0</v>
      </c>
      <c r="E230" s="144">
        <v>0</v>
      </c>
      <c r="F230" s="144">
        <v>0</v>
      </c>
      <c r="G230" s="291">
        <v>0</v>
      </c>
      <c r="H230" s="150">
        <v>0</v>
      </c>
      <c r="I230" s="567">
        <f t="shared" ref="I230:I258" si="6">SUM(G230+H230)</f>
        <v>0</v>
      </c>
    </row>
    <row r="231" spans="1:9" x14ac:dyDescent="0.15">
      <c r="A231" s="138"/>
      <c r="B231" s="521" t="s">
        <v>1580</v>
      </c>
      <c r="C231" s="138" t="s">
        <v>119</v>
      </c>
      <c r="D231" s="144">
        <v>0</v>
      </c>
      <c r="E231" s="144">
        <v>0</v>
      </c>
      <c r="F231" s="144">
        <v>0</v>
      </c>
      <c r="G231" s="291">
        <v>0</v>
      </c>
      <c r="H231" s="150">
        <v>0</v>
      </c>
      <c r="I231" s="567">
        <f t="shared" si="6"/>
        <v>0</v>
      </c>
    </row>
    <row r="232" spans="1:9" x14ac:dyDescent="0.15">
      <c r="A232" s="138"/>
      <c r="B232" s="521" t="s">
        <v>120</v>
      </c>
      <c r="C232" s="138" t="s">
        <v>121</v>
      </c>
      <c r="D232" s="144">
        <v>0</v>
      </c>
      <c r="E232" s="144">
        <v>0</v>
      </c>
      <c r="F232" s="144">
        <v>0</v>
      </c>
      <c r="G232" s="291">
        <v>0</v>
      </c>
      <c r="H232" s="150">
        <v>0</v>
      </c>
      <c r="I232" s="567">
        <f t="shared" si="6"/>
        <v>0</v>
      </c>
    </row>
    <row r="233" spans="1:9" x14ac:dyDescent="0.15">
      <c r="A233" s="138"/>
      <c r="B233" s="521" t="s">
        <v>122</v>
      </c>
      <c r="C233" s="138" t="s">
        <v>123</v>
      </c>
      <c r="D233" s="144">
        <v>0</v>
      </c>
      <c r="E233" s="144">
        <v>0</v>
      </c>
      <c r="F233" s="144">
        <v>0</v>
      </c>
      <c r="G233" s="291">
        <v>0</v>
      </c>
      <c r="H233" s="150">
        <v>0</v>
      </c>
      <c r="I233" s="567">
        <f t="shared" si="6"/>
        <v>0</v>
      </c>
    </row>
    <row r="234" spans="1:9" x14ac:dyDescent="0.15">
      <c r="A234" s="138"/>
      <c r="B234" s="521" t="s">
        <v>1581</v>
      </c>
      <c r="C234" s="138" t="s">
        <v>124</v>
      </c>
      <c r="D234" s="144">
        <v>0</v>
      </c>
      <c r="E234" s="144">
        <v>0</v>
      </c>
      <c r="F234" s="144">
        <v>0</v>
      </c>
      <c r="G234" s="291">
        <v>0</v>
      </c>
      <c r="H234" s="150">
        <v>0</v>
      </c>
      <c r="I234" s="567">
        <f t="shared" si="6"/>
        <v>0</v>
      </c>
    </row>
    <row r="235" spans="1:9" x14ac:dyDescent="0.15">
      <c r="A235" s="138"/>
      <c r="B235" s="521" t="s">
        <v>127</v>
      </c>
      <c r="C235" s="138" t="s">
        <v>134</v>
      </c>
      <c r="D235" s="144">
        <v>0</v>
      </c>
      <c r="E235" s="144">
        <v>0</v>
      </c>
      <c r="F235" s="144">
        <v>0</v>
      </c>
      <c r="G235" s="291">
        <v>0</v>
      </c>
      <c r="H235" s="150">
        <v>0</v>
      </c>
      <c r="I235" s="567">
        <f t="shared" si="6"/>
        <v>0</v>
      </c>
    </row>
    <row r="236" spans="1:9" x14ac:dyDescent="0.15">
      <c r="A236" s="138"/>
      <c r="B236" s="521" t="s">
        <v>132</v>
      </c>
      <c r="C236" s="138" t="s">
        <v>1617</v>
      </c>
      <c r="D236" s="144">
        <v>0</v>
      </c>
      <c r="E236" s="144">
        <v>0</v>
      </c>
      <c r="F236" s="144">
        <v>0</v>
      </c>
      <c r="G236" s="291">
        <v>0</v>
      </c>
      <c r="H236" s="150">
        <v>0</v>
      </c>
      <c r="I236" s="567">
        <f t="shared" si="6"/>
        <v>0</v>
      </c>
    </row>
    <row r="237" spans="1:9" x14ac:dyDescent="0.15">
      <c r="A237" s="138"/>
      <c r="B237" s="521" t="s">
        <v>1618</v>
      </c>
      <c r="C237" s="138" t="s">
        <v>836</v>
      </c>
      <c r="D237" s="144">
        <v>0</v>
      </c>
      <c r="E237" s="144">
        <v>0</v>
      </c>
      <c r="F237" s="144">
        <v>0</v>
      </c>
      <c r="G237" s="291">
        <v>0</v>
      </c>
      <c r="H237" s="150">
        <v>0</v>
      </c>
      <c r="I237" s="567">
        <f t="shared" si="6"/>
        <v>0</v>
      </c>
    </row>
    <row r="238" spans="1:9" x14ac:dyDescent="0.15">
      <c r="A238" s="138"/>
      <c r="B238" s="521" t="s">
        <v>1619</v>
      </c>
      <c r="C238" s="138" t="s">
        <v>185</v>
      </c>
      <c r="D238" s="144">
        <v>0</v>
      </c>
      <c r="E238" s="144">
        <v>0</v>
      </c>
      <c r="F238" s="144">
        <v>0</v>
      </c>
      <c r="G238" s="291">
        <v>0</v>
      </c>
      <c r="H238" s="150">
        <v>0</v>
      </c>
      <c r="I238" s="567">
        <f t="shared" si="6"/>
        <v>0</v>
      </c>
    </row>
    <row r="239" spans="1:9" x14ac:dyDescent="0.15">
      <c r="A239" s="138"/>
      <c r="B239" s="521" t="s">
        <v>1620</v>
      </c>
      <c r="C239" s="138" t="s">
        <v>838</v>
      </c>
      <c r="D239" s="144">
        <v>0</v>
      </c>
      <c r="E239" s="144">
        <v>0</v>
      </c>
      <c r="F239" s="144">
        <v>0</v>
      </c>
      <c r="G239" s="291">
        <v>0</v>
      </c>
      <c r="H239" s="150">
        <v>0</v>
      </c>
      <c r="I239" s="567">
        <f t="shared" si="6"/>
        <v>0</v>
      </c>
    </row>
    <row r="240" spans="1:9" x14ac:dyDescent="0.15">
      <c r="A240" s="138"/>
      <c r="B240" s="521" t="s">
        <v>1621</v>
      </c>
      <c r="C240" s="138" t="s">
        <v>839</v>
      </c>
      <c r="D240" s="144">
        <v>0</v>
      </c>
      <c r="E240" s="144">
        <v>0</v>
      </c>
      <c r="F240" s="144">
        <v>0</v>
      </c>
      <c r="G240" s="291">
        <v>0</v>
      </c>
      <c r="H240" s="150">
        <v>0</v>
      </c>
      <c r="I240" s="567">
        <f t="shared" si="6"/>
        <v>0</v>
      </c>
    </row>
    <row r="241" spans="1:9" x14ac:dyDescent="0.15">
      <c r="A241" s="138"/>
      <c r="B241" s="521" t="s">
        <v>1622</v>
      </c>
      <c r="C241" s="138" t="s">
        <v>190</v>
      </c>
      <c r="D241" s="144">
        <v>0</v>
      </c>
      <c r="E241" s="144">
        <v>0</v>
      </c>
      <c r="F241" s="144">
        <v>0</v>
      </c>
      <c r="G241" s="291">
        <v>0</v>
      </c>
      <c r="H241" s="150">
        <v>0</v>
      </c>
      <c r="I241" s="567">
        <f t="shared" si="6"/>
        <v>0</v>
      </c>
    </row>
    <row r="242" spans="1:9" x14ac:dyDescent="0.15">
      <c r="A242" s="138"/>
      <c r="B242" s="521" t="s">
        <v>1623</v>
      </c>
      <c r="C242" s="138" t="s">
        <v>191</v>
      </c>
      <c r="D242" s="144">
        <v>0</v>
      </c>
      <c r="E242" s="144">
        <v>0</v>
      </c>
      <c r="F242" s="144">
        <v>0</v>
      </c>
      <c r="G242" s="291">
        <v>0</v>
      </c>
      <c r="H242" s="150">
        <v>0</v>
      </c>
      <c r="I242" s="567">
        <f t="shared" si="6"/>
        <v>0</v>
      </c>
    </row>
    <row r="243" spans="1:9" x14ac:dyDescent="0.15">
      <c r="A243" s="138"/>
      <c r="B243" s="521" t="s">
        <v>1624</v>
      </c>
      <c r="C243" s="138" t="s">
        <v>840</v>
      </c>
      <c r="D243" s="144">
        <v>0</v>
      </c>
      <c r="E243" s="144">
        <v>0</v>
      </c>
      <c r="F243" s="144">
        <v>0</v>
      </c>
      <c r="G243" s="291">
        <v>0</v>
      </c>
      <c r="H243" s="150">
        <v>0</v>
      </c>
      <c r="I243" s="567">
        <f t="shared" si="6"/>
        <v>0</v>
      </c>
    </row>
    <row r="244" spans="1:9" x14ac:dyDescent="0.15">
      <c r="A244" s="138"/>
      <c r="B244" s="521" t="s">
        <v>1625</v>
      </c>
      <c r="C244" s="138" t="s">
        <v>842</v>
      </c>
      <c r="D244" s="144">
        <v>0</v>
      </c>
      <c r="E244" s="144">
        <v>0</v>
      </c>
      <c r="F244" s="144">
        <v>0</v>
      </c>
      <c r="G244" s="291">
        <v>0</v>
      </c>
      <c r="H244" s="150">
        <v>0</v>
      </c>
      <c r="I244" s="567">
        <f t="shared" si="6"/>
        <v>0</v>
      </c>
    </row>
    <row r="245" spans="1:9" x14ac:dyDescent="0.15">
      <c r="A245" s="138"/>
      <c r="B245" s="521" t="s">
        <v>843</v>
      </c>
      <c r="C245" s="138" t="s">
        <v>848</v>
      </c>
      <c r="D245" s="144">
        <v>0</v>
      </c>
      <c r="E245" s="144">
        <v>0</v>
      </c>
      <c r="F245" s="144">
        <v>0</v>
      </c>
      <c r="G245" s="291">
        <v>0</v>
      </c>
      <c r="H245" s="150">
        <v>0</v>
      </c>
      <c r="I245" s="567">
        <f t="shared" si="6"/>
        <v>0</v>
      </c>
    </row>
    <row r="246" spans="1:9" x14ac:dyDescent="0.15">
      <c r="A246" s="138"/>
      <c r="B246" s="521" t="s">
        <v>844</v>
      </c>
      <c r="C246" s="138" t="s">
        <v>186</v>
      </c>
      <c r="D246" s="144">
        <v>0</v>
      </c>
      <c r="E246" s="144">
        <v>0</v>
      </c>
      <c r="F246" s="144">
        <v>0</v>
      </c>
      <c r="G246" s="291">
        <v>0</v>
      </c>
      <c r="H246" s="150">
        <v>0</v>
      </c>
      <c r="I246" s="567">
        <f t="shared" si="6"/>
        <v>0</v>
      </c>
    </row>
    <row r="247" spans="1:9" x14ac:dyDescent="0.15">
      <c r="A247" s="138"/>
      <c r="B247" s="521" t="s">
        <v>845</v>
      </c>
      <c r="C247" s="138" t="s">
        <v>154</v>
      </c>
      <c r="D247" s="144">
        <v>0</v>
      </c>
      <c r="E247" s="144">
        <v>0</v>
      </c>
      <c r="F247" s="144">
        <v>0</v>
      </c>
      <c r="G247" s="291">
        <v>0</v>
      </c>
      <c r="H247" s="150">
        <v>0</v>
      </c>
      <c r="I247" s="567">
        <f t="shared" si="6"/>
        <v>0</v>
      </c>
    </row>
    <row r="248" spans="1:9" x14ac:dyDescent="0.15">
      <c r="A248" s="138"/>
      <c r="B248" s="521" t="s">
        <v>846</v>
      </c>
      <c r="C248" s="138" t="s">
        <v>155</v>
      </c>
      <c r="D248" s="144">
        <v>0</v>
      </c>
      <c r="E248" s="144">
        <v>0</v>
      </c>
      <c r="F248" s="144">
        <v>0</v>
      </c>
      <c r="G248" s="291">
        <v>0</v>
      </c>
      <c r="H248" s="150">
        <v>0</v>
      </c>
      <c r="I248" s="567">
        <f t="shared" si="6"/>
        <v>0</v>
      </c>
    </row>
    <row r="249" spans="1:9" x14ac:dyDescent="0.15">
      <c r="A249" s="138"/>
      <c r="B249" s="521" t="s">
        <v>1582</v>
      </c>
      <c r="C249" s="138" t="s">
        <v>156</v>
      </c>
      <c r="D249" s="144">
        <v>0</v>
      </c>
      <c r="E249" s="144">
        <v>0</v>
      </c>
      <c r="F249" s="144">
        <v>0</v>
      </c>
      <c r="G249" s="291">
        <v>0</v>
      </c>
      <c r="H249" s="150">
        <v>0</v>
      </c>
      <c r="I249" s="567">
        <f t="shared" si="6"/>
        <v>0</v>
      </c>
    </row>
    <row r="250" spans="1:9" x14ac:dyDescent="0.15">
      <c r="A250" s="138"/>
      <c r="B250" s="521" t="s">
        <v>847</v>
      </c>
      <c r="C250" s="138" t="s">
        <v>157</v>
      </c>
      <c r="D250" s="144">
        <v>0</v>
      </c>
      <c r="E250" s="144">
        <v>0</v>
      </c>
      <c r="F250" s="144">
        <v>0</v>
      </c>
      <c r="G250" s="291">
        <v>0</v>
      </c>
      <c r="H250" s="150">
        <v>0</v>
      </c>
      <c r="I250" s="567">
        <f t="shared" si="6"/>
        <v>0</v>
      </c>
    </row>
    <row r="251" spans="1:9" x14ac:dyDescent="0.15">
      <c r="A251" s="138"/>
      <c r="B251" s="521" t="s">
        <v>1583</v>
      </c>
      <c r="C251" s="138" t="s">
        <v>160</v>
      </c>
      <c r="D251" s="144">
        <v>0</v>
      </c>
      <c r="E251" s="144">
        <v>0</v>
      </c>
      <c r="F251" s="144">
        <v>0</v>
      </c>
      <c r="G251" s="291">
        <v>0</v>
      </c>
      <c r="H251" s="150">
        <v>0</v>
      </c>
      <c r="I251" s="567">
        <f t="shared" si="6"/>
        <v>0</v>
      </c>
    </row>
    <row r="252" spans="1:9" x14ac:dyDescent="0.15">
      <c r="A252" s="138"/>
      <c r="B252" s="521" t="s">
        <v>634</v>
      </c>
      <c r="C252" s="138" t="s">
        <v>165</v>
      </c>
      <c r="D252" s="144">
        <v>0</v>
      </c>
      <c r="E252" s="144">
        <v>0</v>
      </c>
      <c r="F252" s="144">
        <v>0</v>
      </c>
      <c r="G252" s="291">
        <v>0</v>
      </c>
      <c r="H252" s="150">
        <v>0</v>
      </c>
      <c r="I252" s="567">
        <f t="shared" si="6"/>
        <v>0</v>
      </c>
    </row>
    <row r="253" spans="1:9" x14ac:dyDescent="0.15">
      <c r="A253" s="138"/>
      <c r="B253" s="521" t="s">
        <v>630</v>
      </c>
      <c r="C253" s="138" t="s">
        <v>172</v>
      </c>
      <c r="D253" s="144">
        <v>0</v>
      </c>
      <c r="E253" s="144">
        <v>0</v>
      </c>
      <c r="F253" s="144">
        <v>0</v>
      </c>
      <c r="G253" s="291">
        <v>0</v>
      </c>
      <c r="H253" s="150">
        <v>0</v>
      </c>
      <c r="I253" s="567">
        <f t="shared" si="6"/>
        <v>0</v>
      </c>
    </row>
    <row r="254" spans="1:9" x14ac:dyDescent="0.15">
      <c r="A254" s="138"/>
      <c r="B254" s="650" t="s">
        <v>631</v>
      </c>
      <c r="C254" s="651" t="s">
        <v>173</v>
      </c>
      <c r="D254" s="144">
        <v>0</v>
      </c>
      <c r="E254" s="144">
        <v>0</v>
      </c>
      <c r="F254" s="144">
        <v>0</v>
      </c>
      <c r="G254" s="291">
        <v>0</v>
      </c>
      <c r="H254" s="150">
        <v>0</v>
      </c>
      <c r="I254" s="567">
        <f t="shared" si="6"/>
        <v>0</v>
      </c>
    </row>
    <row r="255" spans="1:9" x14ac:dyDescent="0.15">
      <c r="A255" s="138"/>
      <c r="B255" s="521" t="s">
        <v>1584</v>
      </c>
      <c r="C255" s="138" t="s">
        <v>178</v>
      </c>
      <c r="D255" s="144">
        <v>0</v>
      </c>
      <c r="E255" s="144">
        <v>0</v>
      </c>
      <c r="F255" s="144">
        <v>0</v>
      </c>
      <c r="G255" s="291">
        <v>0</v>
      </c>
      <c r="H255" s="150">
        <v>0</v>
      </c>
      <c r="I255" s="567">
        <f t="shared" si="6"/>
        <v>0</v>
      </c>
    </row>
    <row r="256" spans="1:9" x14ac:dyDescent="0.15">
      <c r="A256" s="138"/>
      <c r="B256" s="521" t="s">
        <v>174</v>
      </c>
      <c r="C256" s="138" t="s">
        <v>179</v>
      </c>
      <c r="D256" s="144">
        <v>0</v>
      </c>
      <c r="E256" s="144">
        <v>0</v>
      </c>
      <c r="F256" s="144">
        <v>0</v>
      </c>
      <c r="G256" s="291">
        <v>0</v>
      </c>
      <c r="H256" s="150">
        <v>0</v>
      </c>
      <c r="I256" s="567">
        <f t="shared" si="6"/>
        <v>0</v>
      </c>
    </row>
    <row r="257" spans="1:9" x14ac:dyDescent="0.15">
      <c r="A257" s="138"/>
      <c r="B257" s="521" t="s">
        <v>175</v>
      </c>
      <c r="C257" s="138" t="s">
        <v>180</v>
      </c>
      <c r="D257" s="144">
        <v>0</v>
      </c>
      <c r="E257" s="144">
        <v>0</v>
      </c>
      <c r="F257" s="144">
        <v>0</v>
      </c>
      <c r="G257" s="291">
        <v>0</v>
      </c>
      <c r="H257" s="150">
        <v>0</v>
      </c>
      <c r="I257" s="567">
        <f t="shared" si="6"/>
        <v>0</v>
      </c>
    </row>
    <row r="258" spans="1:9" ht="11.25" thickBot="1" x14ac:dyDescent="0.2">
      <c r="A258" s="138"/>
      <c r="B258" s="521" t="s">
        <v>176</v>
      </c>
      <c r="C258" s="138" t="s">
        <v>181</v>
      </c>
      <c r="D258" s="144">
        <v>0</v>
      </c>
      <c r="E258" s="144">
        <v>0</v>
      </c>
      <c r="F258" s="144">
        <v>0</v>
      </c>
      <c r="G258" s="291">
        <v>0</v>
      </c>
      <c r="H258" s="150">
        <v>0</v>
      </c>
      <c r="I258" s="567">
        <f t="shared" si="6"/>
        <v>0</v>
      </c>
    </row>
    <row r="259" spans="1:9" ht="12" thickTop="1" thickBot="1" x14ac:dyDescent="0.2">
      <c r="A259" s="138"/>
      <c r="B259" s="521"/>
      <c r="C259" s="138" t="s">
        <v>224</v>
      </c>
      <c r="D259" s="169">
        <f>SUM(D226:D258)</f>
        <v>0</v>
      </c>
      <c r="E259" s="169">
        <f>SUM(E226:E258)</f>
        <v>0</v>
      </c>
      <c r="F259" s="169">
        <f>SUM(F226:F258)</f>
        <v>0</v>
      </c>
      <c r="G259" s="169">
        <f>SUM(G226:G258)</f>
        <v>0</v>
      </c>
      <c r="H259" s="169">
        <f>SUM(H226:H258)</f>
        <v>0</v>
      </c>
      <c r="I259" s="169">
        <f>SUM(G259+H259)</f>
        <v>0</v>
      </c>
    </row>
    <row r="260" spans="1:9" ht="11.25" thickTop="1" x14ac:dyDescent="0.15">
      <c r="A260" s="512"/>
      <c r="B260" s="512"/>
      <c r="C260" s="512"/>
      <c r="D260" s="14"/>
      <c r="E260" s="14"/>
      <c r="F260" s="14"/>
      <c r="G260" s="14"/>
      <c r="H260" s="14"/>
      <c r="I260" s="563"/>
    </row>
    <row r="261" spans="1:9" x14ac:dyDescent="0.15">
      <c r="A261" s="512" t="s">
        <v>647</v>
      </c>
      <c r="B261" s="138"/>
      <c r="C261" s="138"/>
      <c r="D261" s="14"/>
      <c r="E261" s="14"/>
      <c r="F261" s="14"/>
      <c r="G261" s="14"/>
      <c r="H261" s="14"/>
      <c r="I261" s="563"/>
    </row>
    <row r="262" spans="1:9" x14ac:dyDescent="0.15">
      <c r="A262" s="434"/>
      <c r="B262" s="523" t="s">
        <v>1577</v>
      </c>
      <c r="C262" s="524" t="s">
        <v>228</v>
      </c>
      <c r="D262" s="316">
        <v>0</v>
      </c>
      <c r="E262" s="316">
        <v>0</v>
      </c>
      <c r="F262" s="316">
        <v>0</v>
      </c>
      <c r="G262" s="528">
        <f t="array" ref="G262">SUM(IF(CertFund&amp;CertProg&amp;CertObj=RIGHT(LEFT($A$2,7),2)&amp;LEFT(A261,4)&amp;B262,CertSalary))</f>
        <v>0</v>
      </c>
      <c r="H262" s="527">
        <v>0</v>
      </c>
      <c r="I262" s="566">
        <f>SUM(G262+H262)</f>
        <v>0</v>
      </c>
    </row>
    <row r="263" spans="1:9" x14ac:dyDescent="0.15">
      <c r="A263" s="434"/>
      <c r="B263" s="523" t="s">
        <v>1577</v>
      </c>
      <c r="C263" s="524" t="s">
        <v>510</v>
      </c>
      <c r="D263" s="316">
        <v>0</v>
      </c>
      <c r="E263" s="316">
        <v>0</v>
      </c>
      <c r="F263" s="316">
        <v>0</v>
      </c>
      <c r="G263" s="316">
        <v>0</v>
      </c>
      <c r="H263" s="527">
        <v>0</v>
      </c>
      <c r="I263" s="566">
        <f>SUM(G263+H263)</f>
        <v>0</v>
      </c>
    </row>
    <row r="264" spans="1:9" x14ac:dyDescent="0.15">
      <c r="A264" s="524"/>
      <c r="B264" s="523" t="s">
        <v>1578</v>
      </c>
      <c r="C264" s="524" t="s">
        <v>936</v>
      </c>
      <c r="D264" s="316">
        <v>0</v>
      </c>
      <c r="E264" s="316">
        <v>0</v>
      </c>
      <c r="F264" s="316">
        <v>0</v>
      </c>
      <c r="G264" s="529">
        <f t="array" ref="G264">SUM(IF(CertFund&amp;CertProg&amp;CertObj=RIGHT(LEFT($A$2,7),2)&amp;LEFT(A261,4)&amp;B262,CertBen))</f>
        <v>0</v>
      </c>
      <c r="H264" s="527">
        <v>0</v>
      </c>
      <c r="I264" s="566">
        <f>SUM(G264+H264)</f>
        <v>0</v>
      </c>
    </row>
    <row r="265" spans="1:9" x14ac:dyDescent="0.15">
      <c r="A265" s="138"/>
      <c r="B265" s="521" t="s">
        <v>1578</v>
      </c>
      <c r="C265" s="138" t="s">
        <v>511</v>
      </c>
      <c r="D265" s="147">
        <v>0</v>
      </c>
      <c r="E265" s="147">
        <v>0</v>
      </c>
      <c r="F265" s="147">
        <v>0</v>
      </c>
      <c r="G265" s="147">
        <v>0</v>
      </c>
      <c r="H265" s="150">
        <v>0</v>
      </c>
      <c r="I265" s="567">
        <f>SUM(G265+H265)</f>
        <v>0</v>
      </c>
    </row>
    <row r="266" spans="1:9" x14ac:dyDescent="0.15">
      <c r="A266" s="138"/>
      <c r="B266" s="521" t="s">
        <v>1579</v>
      </c>
      <c r="C266" s="138" t="s">
        <v>118</v>
      </c>
      <c r="D266" s="144">
        <v>0</v>
      </c>
      <c r="E266" s="144">
        <v>0</v>
      </c>
      <c r="F266" s="144">
        <v>0</v>
      </c>
      <c r="G266" s="291">
        <v>0</v>
      </c>
      <c r="H266" s="150">
        <v>0</v>
      </c>
      <c r="I266" s="567">
        <f t="shared" ref="I266:I295" si="7">SUM(G266+H266)</f>
        <v>0</v>
      </c>
    </row>
    <row r="267" spans="1:9" x14ac:dyDescent="0.15">
      <c r="A267" s="138"/>
      <c r="B267" s="521" t="s">
        <v>1580</v>
      </c>
      <c r="C267" s="138" t="s">
        <v>119</v>
      </c>
      <c r="D267" s="144">
        <v>0</v>
      </c>
      <c r="E267" s="144">
        <v>0</v>
      </c>
      <c r="F267" s="144">
        <v>0</v>
      </c>
      <c r="G267" s="291">
        <v>0</v>
      </c>
      <c r="H267" s="150">
        <v>0</v>
      </c>
      <c r="I267" s="567">
        <f t="shared" si="7"/>
        <v>0</v>
      </c>
    </row>
    <row r="268" spans="1:9" x14ac:dyDescent="0.15">
      <c r="A268" s="138"/>
      <c r="B268" s="521" t="s">
        <v>120</v>
      </c>
      <c r="C268" s="138" t="s">
        <v>121</v>
      </c>
      <c r="D268" s="144">
        <v>0</v>
      </c>
      <c r="E268" s="144">
        <v>0</v>
      </c>
      <c r="F268" s="144">
        <v>0</v>
      </c>
      <c r="G268" s="291">
        <v>0</v>
      </c>
      <c r="H268" s="150">
        <v>0</v>
      </c>
      <c r="I268" s="567">
        <f t="shared" si="7"/>
        <v>0</v>
      </c>
    </row>
    <row r="269" spans="1:9" x14ac:dyDescent="0.15">
      <c r="A269" s="138"/>
      <c r="B269" s="521" t="s">
        <v>122</v>
      </c>
      <c r="C269" s="138" t="s">
        <v>123</v>
      </c>
      <c r="D269" s="144">
        <v>0</v>
      </c>
      <c r="E269" s="144">
        <v>0</v>
      </c>
      <c r="F269" s="144">
        <v>0</v>
      </c>
      <c r="G269" s="291">
        <v>0</v>
      </c>
      <c r="H269" s="150">
        <v>0</v>
      </c>
      <c r="I269" s="567">
        <f t="shared" si="7"/>
        <v>0</v>
      </c>
    </row>
    <row r="270" spans="1:9" x14ac:dyDescent="0.15">
      <c r="A270" s="138"/>
      <c r="B270" s="521" t="s">
        <v>1581</v>
      </c>
      <c r="C270" s="138" t="s">
        <v>124</v>
      </c>
      <c r="D270" s="144">
        <v>0</v>
      </c>
      <c r="E270" s="144">
        <v>0</v>
      </c>
      <c r="F270" s="144">
        <v>0</v>
      </c>
      <c r="G270" s="291">
        <v>0</v>
      </c>
      <c r="H270" s="150">
        <v>0</v>
      </c>
      <c r="I270" s="567">
        <f t="shared" si="7"/>
        <v>0</v>
      </c>
    </row>
    <row r="271" spans="1:9" x14ac:dyDescent="0.15">
      <c r="A271" s="138"/>
      <c r="B271" s="521" t="s">
        <v>127</v>
      </c>
      <c r="C271" s="138" t="s">
        <v>134</v>
      </c>
      <c r="D271" s="144">
        <v>0</v>
      </c>
      <c r="E271" s="144">
        <v>0</v>
      </c>
      <c r="F271" s="144">
        <v>0</v>
      </c>
      <c r="G271" s="291">
        <v>0</v>
      </c>
      <c r="H271" s="150">
        <v>0</v>
      </c>
      <c r="I271" s="567">
        <f t="shared" si="7"/>
        <v>0</v>
      </c>
    </row>
    <row r="272" spans="1:9" x14ac:dyDescent="0.15">
      <c r="A272" s="138"/>
      <c r="B272" s="521" t="s">
        <v>132</v>
      </c>
      <c r="C272" s="138" t="s">
        <v>1617</v>
      </c>
      <c r="D272" s="144">
        <v>0</v>
      </c>
      <c r="E272" s="144">
        <v>0</v>
      </c>
      <c r="F272" s="144">
        <v>0</v>
      </c>
      <c r="G272" s="291">
        <v>0</v>
      </c>
      <c r="H272" s="150">
        <v>0</v>
      </c>
      <c r="I272" s="567">
        <f t="shared" si="7"/>
        <v>0</v>
      </c>
    </row>
    <row r="273" spans="1:9" x14ac:dyDescent="0.15">
      <c r="A273" s="138"/>
      <c r="B273" s="521" t="s">
        <v>1618</v>
      </c>
      <c r="C273" s="138" t="s">
        <v>836</v>
      </c>
      <c r="D273" s="144">
        <v>0</v>
      </c>
      <c r="E273" s="144">
        <v>0</v>
      </c>
      <c r="F273" s="144">
        <v>0</v>
      </c>
      <c r="G273" s="291">
        <v>0</v>
      </c>
      <c r="H273" s="150">
        <v>0</v>
      </c>
      <c r="I273" s="567">
        <f t="shared" si="7"/>
        <v>0</v>
      </c>
    </row>
    <row r="274" spans="1:9" x14ac:dyDescent="0.15">
      <c r="A274" s="138"/>
      <c r="B274" s="521" t="s">
        <v>1619</v>
      </c>
      <c r="C274" s="138" t="s">
        <v>185</v>
      </c>
      <c r="D274" s="144">
        <v>0</v>
      </c>
      <c r="E274" s="144">
        <v>0</v>
      </c>
      <c r="F274" s="144">
        <v>0</v>
      </c>
      <c r="G274" s="291">
        <v>0</v>
      </c>
      <c r="H274" s="150">
        <v>0</v>
      </c>
      <c r="I274" s="567">
        <f t="shared" si="7"/>
        <v>0</v>
      </c>
    </row>
    <row r="275" spans="1:9" x14ac:dyDescent="0.15">
      <c r="A275" s="138"/>
      <c r="B275" s="521" t="s">
        <v>1620</v>
      </c>
      <c r="C275" s="138" t="s">
        <v>838</v>
      </c>
      <c r="D275" s="144">
        <v>0</v>
      </c>
      <c r="E275" s="144">
        <v>0</v>
      </c>
      <c r="F275" s="144">
        <v>0</v>
      </c>
      <c r="G275" s="291">
        <v>0</v>
      </c>
      <c r="H275" s="150">
        <v>0</v>
      </c>
      <c r="I275" s="567">
        <f t="shared" si="7"/>
        <v>0</v>
      </c>
    </row>
    <row r="276" spans="1:9" x14ac:dyDescent="0.15">
      <c r="A276" s="138"/>
      <c r="B276" s="521" t="s">
        <v>1621</v>
      </c>
      <c r="C276" s="138" t="s">
        <v>839</v>
      </c>
      <c r="D276" s="144">
        <v>0</v>
      </c>
      <c r="E276" s="144">
        <v>0</v>
      </c>
      <c r="F276" s="144">
        <v>0</v>
      </c>
      <c r="G276" s="291">
        <v>0</v>
      </c>
      <c r="H276" s="150">
        <v>0</v>
      </c>
      <c r="I276" s="567">
        <f t="shared" si="7"/>
        <v>0</v>
      </c>
    </row>
    <row r="277" spans="1:9" x14ac:dyDescent="0.15">
      <c r="A277" s="138"/>
      <c r="B277" s="521" t="s">
        <v>1622</v>
      </c>
      <c r="C277" s="138" t="s">
        <v>190</v>
      </c>
      <c r="D277" s="144">
        <v>0</v>
      </c>
      <c r="E277" s="144">
        <v>0</v>
      </c>
      <c r="F277" s="144">
        <v>0</v>
      </c>
      <c r="G277" s="291">
        <v>0</v>
      </c>
      <c r="H277" s="150">
        <v>0</v>
      </c>
      <c r="I277" s="567">
        <f t="shared" si="7"/>
        <v>0</v>
      </c>
    </row>
    <row r="278" spans="1:9" x14ac:dyDescent="0.15">
      <c r="A278" s="138"/>
      <c r="B278" s="521" t="s">
        <v>1623</v>
      </c>
      <c r="C278" s="138" t="s">
        <v>191</v>
      </c>
      <c r="D278" s="144">
        <v>0</v>
      </c>
      <c r="E278" s="144">
        <v>0</v>
      </c>
      <c r="F278" s="144">
        <v>0</v>
      </c>
      <c r="G278" s="291">
        <v>0</v>
      </c>
      <c r="H278" s="150">
        <v>0</v>
      </c>
      <c r="I278" s="567">
        <f t="shared" si="7"/>
        <v>0</v>
      </c>
    </row>
    <row r="279" spans="1:9" x14ac:dyDescent="0.15">
      <c r="A279" s="138"/>
      <c r="B279" s="521" t="s">
        <v>1624</v>
      </c>
      <c r="C279" s="138" t="s">
        <v>840</v>
      </c>
      <c r="D279" s="144">
        <v>0</v>
      </c>
      <c r="E279" s="144">
        <v>0</v>
      </c>
      <c r="F279" s="144">
        <v>0</v>
      </c>
      <c r="G279" s="291">
        <v>0</v>
      </c>
      <c r="H279" s="150">
        <v>0</v>
      </c>
      <c r="I279" s="567">
        <f t="shared" si="7"/>
        <v>0</v>
      </c>
    </row>
    <row r="280" spans="1:9" x14ac:dyDescent="0.15">
      <c r="A280" s="138"/>
      <c r="B280" s="521" t="s">
        <v>1625</v>
      </c>
      <c r="C280" s="138" t="s">
        <v>842</v>
      </c>
      <c r="D280" s="144">
        <v>0</v>
      </c>
      <c r="E280" s="144">
        <v>0</v>
      </c>
      <c r="F280" s="144">
        <v>0</v>
      </c>
      <c r="G280" s="291">
        <v>0</v>
      </c>
      <c r="H280" s="150">
        <v>0</v>
      </c>
      <c r="I280" s="567">
        <f t="shared" si="7"/>
        <v>0</v>
      </c>
    </row>
    <row r="281" spans="1:9" x14ac:dyDescent="0.15">
      <c r="A281" s="138"/>
      <c r="B281" s="521" t="s">
        <v>843</v>
      </c>
      <c r="C281" s="138" t="s">
        <v>848</v>
      </c>
      <c r="D281" s="144">
        <v>0</v>
      </c>
      <c r="E281" s="144">
        <v>0</v>
      </c>
      <c r="F281" s="144">
        <v>0</v>
      </c>
      <c r="G281" s="291">
        <v>0</v>
      </c>
      <c r="H281" s="150">
        <v>0</v>
      </c>
      <c r="I281" s="567">
        <f t="shared" si="7"/>
        <v>0</v>
      </c>
    </row>
    <row r="282" spans="1:9" x14ac:dyDescent="0.15">
      <c r="A282" s="138"/>
      <c r="B282" s="521" t="s">
        <v>844</v>
      </c>
      <c r="C282" s="138" t="s">
        <v>186</v>
      </c>
      <c r="D282" s="144">
        <v>0</v>
      </c>
      <c r="E282" s="144">
        <v>0</v>
      </c>
      <c r="F282" s="144">
        <v>0</v>
      </c>
      <c r="G282" s="291">
        <v>0</v>
      </c>
      <c r="H282" s="150">
        <v>0</v>
      </c>
      <c r="I282" s="567">
        <f t="shared" si="7"/>
        <v>0</v>
      </c>
    </row>
    <row r="283" spans="1:9" x14ac:dyDescent="0.15">
      <c r="A283" s="138"/>
      <c r="B283" s="521" t="s">
        <v>845</v>
      </c>
      <c r="C283" s="138" t="s">
        <v>154</v>
      </c>
      <c r="D283" s="144">
        <v>0</v>
      </c>
      <c r="E283" s="144">
        <v>0</v>
      </c>
      <c r="F283" s="144">
        <v>0</v>
      </c>
      <c r="G283" s="291">
        <v>0</v>
      </c>
      <c r="H283" s="150">
        <v>0</v>
      </c>
      <c r="I283" s="567">
        <f t="shared" si="7"/>
        <v>0</v>
      </c>
    </row>
    <row r="284" spans="1:9" x14ac:dyDescent="0.15">
      <c r="A284" s="138"/>
      <c r="B284" s="521" t="s">
        <v>846</v>
      </c>
      <c r="C284" s="138" t="s">
        <v>155</v>
      </c>
      <c r="D284" s="144">
        <v>0</v>
      </c>
      <c r="E284" s="144">
        <v>0</v>
      </c>
      <c r="F284" s="144">
        <v>0</v>
      </c>
      <c r="G284" s="291">
        <v>0</v>
      </c>
      <c r="H284" s="150">
        <v>0</v>
      </c>
      <c r="I284" s="567">
        <f t="shared" si="7"/>
        <v>0</v>
      </c>
    </row>
    <row r="285" spans="1:9" x14ac:dyDescent="0.15">
      <c r="A285" s="138"/>
      <c r="B285" s="521" t="s">
        <v>1582</v>
      </c>
      <c r="C285" s="138" t="s">
        <v>156</v>
      </c>
      <c r="D285" s="144">
        <v>0</v>
      </c>
      <c r="E285" s="144">
        <v>0</v>
      </c>
      <c r="F285" s="144">
        <v>0</v>
      </c>
      <c r="G285" s="291">
        <v>0</v>
      </c>
      <c r="H285" s="150">
        <v>0</v>
      </c>
      <c r="I285" s="567">
        <f t="shared" si="7"/>
        <v>0</v>
      </c>
    </row>
    <row r="286" spans="1:9" x14ac:dyDescent="0.15">
      <c r="A286" s="138"/>
      <c r="B286" s="521" t="s">
        <v>847</v>
      </c>
      <c r="C286" s="138" t="s">
        <v>157</v>
      </c>
      <c r="D286" s="144">
        <v>0</v>
      </c>
      <c r="E286" s="144">
        <v>0</v>
      </c>
      <c r="F286" s="144">
        <v>0</v>
      </c>
      <c r="G286" s="291">
        <v>0</v>
      </c>
      <c r="H286" s="150">
        <v>0</v>
      </c>
      <c r="I286" s="567">
        <f t="shared" si="7"/>
        <v>0</v>
      </c>
    </row>
    <row r="287" spans="1:9" x14ac:dyDescent="0.15">
      <c r="A287" s="138"/>
      <c r="B287" s="521" t="s">
        <v>1583</v>
      </c>
      <c r="C287" s="138" t="s">
        <v>160</v>
      </c>
      <c r="D287" s="144">
        <v>0</v>
      </c>
      <c r="E287" s="144">
        <v>0</v>
      </c>
      <c r="F287" s="144">
        <v>0</v>
      </c>
      <c r="G287" s="291">
        <v>0</v>
      </c>
      <c r="H287" s="150">
        <v>0</v>
      </c>
      <c r="I287" s="567">
        <f t="shared" si="7"/>
        <v>0</v>
      </c>
    </row>
    <row r="288" spans="1:9" x14ac:dyDescent="0.15">
      <c r="A288" s="138"/>
      <c r="B288" s="521" t="s">
        <v>634</v>
      </c>
      <c r="C288" s="138" t="s">
        <v>165</v>
      </c>
      <c r="D288" s="144">
        <v>0</v>
      </c>
      <c r="E288" s="144">
        <v>0</v>
      </c>
      <c r="F288" s="144">
        <v>0</v>
      </c>
      <c r="G288" s="291">
        <v>0</v>
      </c>
      <c r="H288" s="150">
        <v>0</v>
      </c>
      <c r="I288" s="567">
        <f t="shared" si="7"/>
        <v>0</v>
      </c>
    </row>
    <row r="289" spans="1:9" x14ac:dyDescent="0.15">
      <c r="A289" s="138"/>
      <c r="B289" s="521" t="s">
        <v>630</v>
      </c>
      <c r="C289" s="138" t="s">
        <v>172</v>
      </c>
      <c r="D289" s="144">
        <v>0</v>
      </c>
      <c r="E289" s="144">
        <v>0</v>
      </c>
      <c r="F289" s="144">
        <v>0</v>
      </c>
      <c r="G289" s="291">
        <v>0</v>
      </c>
      <c r="H289" s="150">
        <v>0</v>
      </c>
      <c r="I289" s="567">
        <f t="shared" si="7"/>
        <v>0</v>
      </c>
    </row>
    <row r="290" spans="1:9" x14ac:dyDescent="0.15">
      <c r="A290" s="138"/>
      <c r="B290" s="650" t="s">
        <v>631</v>
      </c>
      <c r="C290" s="651" t="s">
        <v>173</v>
      </c>
      <c r="D290" s="144">
        <v>0</v>
      </c>
      <c r="E290" s="144">
        <v>0</v>
      </c>
      <c r="F290" s="144">
        <v>0</v>
      </c>
      <c r="G290" s="291">
        <v>0</v>
      </c>
      <c r="H290" s="150">
        <v>0</v>
      </c>
      <c r="I290" s="567">
        <f t="shared" si="7"/>
        <v>0</v>
      </c>
    </row>
    <row r="291" spans="1:9" x14ac:dyDescent="0.15">
      <c r="A291" s="138"/>
      <c r="B291" s="521" t="s">
        <v>1584</v>
      </c>
      <c r="C291" s="138" t="s">
        <v>178</v>
      </c>
      <c r="D291" s="144">
        <v>0</v>
      </c>
      <c r="E291" s="144">
        <v>0</v>
      </c>
      <c r="F291" s="144">
        <v>0</v>
      </c>
      <c r="G291" s="291">
        <v>0</v>
      </c>
      <c r="H291" s="150">
        <v>0</v>
      </c>
      <c r="I291" s="567">
        <f t="shared" si="7"/>
        <v>0</v>
      </c>
    </row>
    <row r="292" spans="1:9" x14ac:dyDescent="0.15">
      <c r="A292" s="138"/>
      <c r="B292" s="521" t="s">
        <v>174</v>
      </c>
      <c r="C292" s="138" t="s">
        <v>179</v>
      </c>
      <c r="D292" s="144">
        <v>0</v>
      </c>
      <c r="E292" s="144">
        <v>0</v>
      </c>
      <c r="F292" s="144">
        <v>0</v>
      </c>
      <c r="G292" s="291">
        <v>0</v>
      </c>
      <c r="H292" s="150">
        <v>0</v>
      </c>
      <c r="I292" s="567">
        <f t="shared" si="7"/>
        <v>0</v>
      </c>
    </row>
    <row r="293" spans="1:9" x14ac:dyDescent="0.15">
      <c r="A293" s="138"/>
      <c r="B293" s="521" t="s">
        <v>175</v>
      </c>
      <c r="C293" s="138" t="s">
        <v>180</v>
      </c>
      <c r="D293" s="144">
        <v>0</v>
      </c>
      <c r="E293" s="144">
        <v>0</v>
      </c>
      <c r="F293" s="144">
        <v>0</v>
      </c>
      <c r="G293" s="291">
        <v>0</v>
      </c>
      <c r="H293" s="150">
        <v>0</v>
      </c>
      <c r="I293" s="567">
        <f t="shared" si="7"/>
        <v>0</v>
      </c>
    </row>
    <row r="294" spans="1:9" ht="11.25" thickBot="1" x14ac:dyDescent="0.2">
      <c r="A294" s="138"/>
      <c r="B294" s="521" t="s">
        <v>176</v>
      </c>
      <c r="C294" s="138" t="s">
        <v>181</v>
      </c>
      <c r="D294" s="144">
        <v>0</v>
      </c>
      <c r="E294" s="144">
        <v>0</v>
      </c>
      <c r="F294" s="144">
        <v>0</v>
      </c>
      <c r="G294" s="291">
        <v>0</v>
      </c>
      <c r="H294" s="150">
        <v>0</v>
      </c>
      <c r="I294" s="567">
        <f t="shared" si="7"/>
        <v>0</v>
      </c>
    </row>
    <row r="295" spans="1:9" ht="12" thickTop="1" thickBot="1" x14ac:dyDescent="0.2">
      <c r="A295" s="138"/>
      <c r="B295" s="521"/>
      <c r="C295" s="138" t="s">
        <v>226</v>
      </c>
      <c r="D295" s="169">
        <f>SUM(D262:D294)</f>
        <v>0</v>
      </c>
      <c r="E295" s="169">
        <f>SUM(E262:E294)</f>
        <v>0</v>
      </c>
      <c r="F295" s="169">
        <f>SUM(F262:F294)</f>
        <v>0</v>
      </c>
      <c r="G295" s="169">
        <f>SUM(G262:G294)</f>
        <v>0</v>
      </c>
      <c r="H295" s="169">
        <f>SUM(H262:H294)</f>
        <v>0</v>
      </c>
      <c r="I295" s="169">
        <f t="shared" si="7"/>
        <v>0</v>
      </c>
    </row>
    <row r="296" spans="1:9" ht="11.25" thickTop="1" x14ac:dyDescent="0.15">
      <c r="A296" s="138"/>
      <c r="B296" s="138"/>
      <c r="C296" s="138"/>
      <c r="D296" s="14"/>
      <c r="E296" s="14"/>
      <c r="F296" s="14"/>
      <c r="G296" s="14"/>
      <c r="H296" s="14"/>
      <c r="I296" s="563"/>
    </row>
    <row r="297" spans="1:9" x14ac:dyDescent="0.15">
      <c r="A297" s="512" t="s">
        <v>225</v>
      </c>
      <c r="B297" s="138"/>
      <c r="C297" s="138"/>
      <c r="D297" s="14"/>
      <c r="E297" s="14"/>
      <c r="F297" s="14"/>
      <c r="G297" s="14"/>
      <c r="H297" s="14"/>
      <c r="I297" s="563"/>
    </row>
    <row r="298" spans="1:9" x14ac:dyDescent="0.15">
      <c r="A298" s="434"/>
      <c r="B298" s="523" t="s">
        <v>1577</v>
      </c>
      <c r="C298" s="524" t="s">
        <v>228</v>
      </c>
      <c r="D298" s="316">
        <v>0</v>
      </c>
      <c r="E298" s="316">
        <v>0</v>
      </c>
      <c r="F298" s="316">
        <v>0</v>
      </c>
      <c r="G298" s="528">
        <f t="array" ref="G298">SUM(IF(CertFund&amp;CertProg&amp;CertObj=RIGHT(LEFT($A$2,7),2)&amp;LEFT(A297,4)&amp;B298,CertSalary))</f>
        <v>0</v>
      </c>
      <c r="H298" s="527">
        <v>0</v>
      </c>
      <c r="I298" s="566">
        <f>SUM(G298+H298)</f>
        <v>0</v>
      </c>
    </row>
    <row r="299" spans="1:9" x14ac:dyDescent="0.15">
      <c r="A299" s="434"/>
      <c r="B299" s="523" t="s">
        <v>1577</v>
      </c>
      <c r="C299" s="524" t="s">
        <v>510</v>
      </c>
      <c r="D299" s="316">
        <v>0</v>
      </c>
      <c r="E299" s="316">
        <v>0</v>
      </c>
      <c r="F299" s="316">
        <v>0</v>
      </c>
      <c r="G299" s="316">
        <v>0</v>
      </c>
      <c r="H299" s="527">
        <v>0</v>
      </c>
      <c r="I299" s="566">
        <f>SUM(G299+H299)</f>
        <v>0</v>
      </c>
    </row>
    <row r="300" spans="1:9" x14ac:dyDescent="0.15">
      <c r="A300" s="524"/>
      <c r="B300" s="523" t="s">
        <v>1578</v>
      </c>
      <c r="C300" s="524" t="s">
        <v>936</v>
      </c>
      <c r="D300" s="316">
        <v>0</v>
      </c>
      <c r="E300" s="316">
        <v>0</v>
      </c>
      <c r="F300" s="316">
        <v>0</v>
      </c>
      <c r="G300" s="529">
        <f t="array" ref="G300">SUM(IF(CertFund&amp;CertProg&amp;CertObj=RIGHT(LEFT($A$2,7),2)&amp;LEFT(A297,4)&amp;B298,CertBen))</f>
        <v>0</v>
      </c>
      <c r="H300" s="527">
        <v>0</v>
      </c>
      <c r="I300" s="566">
        <f>SUM(G300+H300)</f>
        <v>0</v>
      </c>
    </row>
    <row r="301" spans="1:9" x14ac:dyDescent="0.15">
      <c r="A301" s="138"/>
      <c r="B301" s="521" t="s">
        <v>1578</v>
      </c>
      <c r="C301" s="138" t="s">
        <v>511</v>
      </c>
      <c r="D301" s="147">
        <v>0</v>
      </c>
      <c r="E301" s="147">
        <v>0</v>
      </c>
      <c r="F301" s="147">
        <v>0</v>
      </c>
      <c r="G301" s="147">
        <v>0</v>
      </c>
      <c r="H301" s="150">
        <v>0</v>
      </c>
      <c r="I301" s="567">
        <f>SUM(G301+H301)</f>
        <v>0</v>
      </c>
    </row>
    <row r="302" spans="1:9" x14ac:dyDescent="0.15">
      <c r="A302" s="138"/>
      <c r="B302" s="521" t="s">
        <v>1579</v>
      </c>
      <c r="C302" s="138" t="s">
        <v>118</v>
      </c>
      <c r="D302" s="144">
        <v>0</v>
      </c>
      <c r="E302" s="144">
        <v>0</v>
      </c>
      <c r="F302" s="144">
        <v>0</v>
      </c>
      <c r="G302" s="291">
        <v>0</v>
      </c>
      <c r="H302" s="150">
        <v>0</v>
      </c>
      <c r="I302" s="567">
        <f t="shared" ref="I302:I331" si="8">SUM(G302+H302)</f>
        <v>0</v>
      </c>
    </row>
    <row r="303" spans="1:9" x14ac:dyDescent="0.15">
      <c r="A303" s="138"/>
      <c r="B303" s="521" t="s">
        <v>1580</v>
      </c>
      <c r="C303" s="138" t="s">
        <v>119</v>
      </c>
      <c r="D303" s="144">
        <v>0</v>
      </c>
      <c r="E303" s="144">
        <v>0</v>
      </c>
      <c r="F303" s="144">
        <v>0</v>
      </c>
      <c r="G303" s="291">
        <v>0</v>
      </c>
      <c r="H303" s="150">
        <v>0</v>
      </c>
      <c r="I303" s="567">
        <f t="shared" si="8"/>
        <v>0</v>
      </c>
    </row>
    <row r="304" spans="1:9" x14ac:dyDescent="0.15">
      <c r="A304" s="138"/>
      <c r="B304" s="521" t="s">
        <v>120</v>
      </c>
      <c r="C304" s="138" t="s">
        <v>121</v>
      </c>
      <c r="D304" s="144">
        <v>0</v>
      </c>
      <c r="E304" s="144">
        <v>0</v>
      </c>
      <c r="F304" s="144">
        <v>0</v>
      </c>
      <c r="G304" s="291">
        <v>0</v>
      </c>
      <c r="H304" s="150">
        <v>0</v>
      </c>
      <c r="I304" s="567">
        <f t="shared" si="8"/>
        <v>0</v>
      </c>
    </row>
    <row r="305" spans="1:9" x14ac:dyDescent="0.15">
      <c r="A305" s="138"/>
      <c r="B305" s="521" t="s">
        <v>122</v>
      </c>
      <c r="C305" s="138" t="s">
        <v>123</v>
      </c>
      <c r="D305" s="144">
        <v>0</v>
      </c>
      <c r="E305" s="144">
        <v>0</v>
      </c>
      <c r="F305" s="144">
        <v>0</v>
      </c>
      <c r="G305" s="291">
        <v>0</v>
      </c>
      <c r="H305" s="150">
        <v>0</v>
      </c>
      <c r="I305" s="567">
        <f t="shared" si="8"/>
        <v>0</v>
      </c>
    </row>
    <row r="306" spans="1:9" x14ac:dyDescent="0.15">
      <c r="A306" s="138"/>
      <c r="B306" s="521" t="s">
        <v>1581</v>
      </c>
      <c r="C306" s="138" t="s">
        <v>124</v>
      </c>
      <c r="D306" s="144">
        <v>0</v>
      </c>
      <c r="E306" s="144">
        <v>0</v>
      </c>
      <c r="F306" s="144">
        <v>0</v>
      </c>
      <c r="G306" s="291">
        <v>0</v>
      </c>
      <c r="H306" s="150">
        <v>0</v>
      </c>
      <c r="I306" s="567">
        <f t="shared" si="8"/>
        <v>0</v>
      </c>
    </row>
    <row r="307" spans="1:9" x14ac:dyDescent="0.15">
      <c r="A307" s="138"/>
      <c r="B307" s="521" t="s">
        <v>127</v>
      </c>
      <c r="C307" s="138" t="s">
        <v>134</v>
      </c>
      <c r="D307" s="144">
        <v>0</v>
      </c>
      <c r="E307" s="144">
        <v>0</v>
      </c>
      <c r="F307" s="144">
        <v>0</v>
      </c>
      <c r="G307" s="291">
        <v>0</v>
      </c>
      <c r="H307" s="150">
        <v>0</v>
      </c>
      <c r="I307" s="567">
        <f t="shared" si="8"/>
        <v>0</v>
      </c>
    </row>
    <row r="308" spans="1:9" x14ac:dyDescent="0.15">
      <c r="A308" s="138"/>
      <c r="B308" s="521" t="s">
        <v>132</v>
      </c>
      <c r="C308" s="138" t="s">
        <v>1617</v>
      </c>
      <c r="D308" s="144">
        <v>0</v>
      </c>
      <c r="E308" s="144">
        <v>0</v>
      </c>
      <c r="F308" s="144">
        <v>0</v>
      </c>
      <c r="G308" s="291">
        <v>0</v>
      </c>
      <c r="H308" s="150">
        <v>0</v>
      </c>
      <c r="I308" s="567">
        <f t="shared" si="8"/>
        <v>0</v>
      </c>
    </row>
    <row r="309" spans="1:9" x14ac:dyDescent="0.15">
      <c r="A309" s="138"/>
      <c r="B309" s="521" t="s">
        <v>1618</v>
      </c>
      <c r="C309" s="138" t="s">
        <v>836</v>
      </c>
      <c r="D309" s="144">
        <v>0</v>
      </c>
      <c r="E309" s="144">
        <v>0</v>
      </c>
      <c r="F309" s="144">
        <v>0</v>
      </c>
      <c r="G309" s="291">
        <v>0</v>
      </c>
      <c r="H309" s="150">
        <v>0</v>
      </c>
      <c r="I309" s="567">
        <f t="shared" si="8"/>
        <v>0</v>
      </c>
    </row>
    <row r="310" spans="1:9" x14ac:dyDescent="0.15">
      <c r="A310" s="138"/>
      <c r="B310" s="521" t="s">
        <v>1619</v>
      </c>
      <c r="C310" s="138" t="s">
        <v>185</v>
      </c>
      <c r="D310" s="144">
        <v>0</v>
      </c>
      <c r="E310" s="144">
        <v>0</v>
      </c>
      <c r="F310" s="144">
        <v>0</v>
      </c>
      <c r="G310" s="291">
        <v>0</v>
      </c>
      <c r="H310" s="150">
        <v>0</v>
      </c>
      <c r="I310" s="567">
        <f t="shared" si="8"/>
        <v>0</v>
      </c>
    </row>
    <row r="311" spans="1:9" x14ac:dyDescent="0.15">
      <c r="A311" s="138"/>
      <c r="B311" s="521" t="s">
        <v>1620</v>
      </c>
      <c r="C311" s="138" t="s">
        <v>838</v>
      </c>
      <c r="D311" s="144">
        <v>0</v>
      </c>
      <c r="E311" s="144">
        <v>0</v>
      </c>
      <c r="F311" s="144">
        <v>0</v>
      </c>
      <c r="G311" s="291">
        <v>0</v>
      </c>
      <c r="H311" s="150">
        <v>0</v>
      </c>
      <c r="I311" s="567">
        <f t="shared" si="8"/>
        <v>0</v>
      </c>
    </row>
    <row r="312" spans="1:9" x14ac:dyDescent="0.15">
      <c r="A312" s="138"/>
      <c r="B312" s="521" t="s">
        <v>1621</v>
      </c>
      <c r="C312" s="138" t="s">
        <v>839</v>
      </c>
      <c r="D312" s="144">
        <v>0</v>
      </c>
      <c r="E312" s="144">
        <v>0</v>
      </c>
      <c r="F312" s="144">
        <v>0</v>
      </c>
      <c r="G312" s="291">
        <v>0</v>
      </c>
      <c r="H312" s="150">
        <v>0</v>
      </c>
      <c r="I312" s="567">
        <f t="shared" si="8"/>
        <v>0</v>
      </c>
    </row>
    <row r="313" spans="1:9" x14ac:dyDescent="0.15">
      <c r="A313" s="138"/>
      <c r="B313" s="521" t="s">
        <v>1622</v>
      </c>
      <c r="C313" s="138" t="s">
        <v>190</v>
      </c>
      <c r="D313" s="144">
        <v>0</v>
      </c>
      <c r="E313" s="144">
        <v>0</v>
      </c>
      <c r="F313" s="144">
        <v>0</v>
      </c>
      <c r="G313" s="291">
        <v>0</v>
      </c>
      <c r="H313" s="150">
        <v>0</v>
      </c>
      <c r="I313" s="567">
        <f t="shared" si="8"/>
        <v>0</v>
      </c>
    </row>
    <row r="314" spans="1:9" x14ac:dyDescent="0.15">
      <c r="A314" s="138"/>
      <c r="B314" s="521" t="s">
        <v>1623</v>
      </c>
      <c r="C314" s="138" t="s">
        <v>191</v>
      </c>
      <c r="D314" s="144">
        <v>0</v>
      </c>
      <c r="E314" s="144">
        <v>0</v>
      </c>
      <c r="F314" s="144">
        <v>0</v>
      </c>
      <c r="G314" s="291">
        <v>0</v>
      </c>
      <c r="H314" s="150">
        <v>0</v>
      </c>
      <c r="I314" s="567">
        <f t="shared" si="8"/>
        <v>0</v>
      </c>
    </row>
    <row r="315" spans="1:9" x14ac:dyDescent="0.15">
      <c r="A315" s="138"/>
      <c r="B315" s="521" t="s">
        <v>1624</v>
      </c>
      <c r="C315" s="138" t="s">
        <v>840</v>
      </c>
      <c r="D315" s="144">
        <v>0</v>
      </c>
      <c r="E315" s="144">
        <v>0</v>
      </c>
      <c r="F315" s="144">
        <v>0</v>
      </c>
      <c r="G315" s="291">
        <v>0</v>
      </c>
      <c r="H315" s="150">
        <v>0</v>
      </c>
      <c r="I315" s="567">
        <f t="shared" si="8"/>
        <v>0</v>
      </c>
    </row>
    <row r="316" spans="1:9" x14ac:dyDescent="0.15">
      <c r="A316" s="138"/>
      <c r="B316" s="521" t="s">
        <v>1625</v>
      </c>
      <c r="C316" s="138" t="s">
        <v>842</v>
      </c>
      <c r="D316" s="144">
        <v>0</v>
      </c>
      <c r="E316" s="144">
        <v>0</v>
      </c>
      <c r="F316" s="144">
        <v>0</v>
      </c>
      <c r="G316" s="291">
        <v>0</v>
      </c>
      <c r="H316" s="150">
        <v>0</v>
      </c>
      <c r="I316" s="567">
        <f t="shared" si="8"/>
        <v>0</v>
      </c>
    </row>
    <row r="317" spans="1:9" x14ac:dyDescent="0.15">
      <c r="A317" s="138"/>
      <c r="B317" s="521" t="s">
        <v>843</v>
      </c>
      <c r="C317" s="138" t="s">
        <v>848</v>
      </c>
      <c r="D317" s="144">
        <v>0</v>
      </c>
      <c r="E317" s="144">
        <v>0</v>
      </c>
      <c r="F317" s="144">
        <v>0</v>
      </c>
      <c r="G317" s="291">
        <v>0</v>
      </c>
      <c r="H317" s="150">
        <v>0</v>
      </c>
      <c r="I317" s="567">
        <f t="shared" si="8"/>
        <v>0</v>
      </c>
    </row>
    <row r="318" spans="1:9" x14ac:dyDescent="0.15">
      <c r="A318" s="138"/>
      <c r="B318" s="521" t="s">
        <v>844</v>
      </c>
      <c r="C318" s="138" t="s">
        <v>186</v>
      </c>
      <c r="D318" s="144">
        <v>0</v>
      </c>
      <c r="E318" s="144">
        <v>0</v>
      </c>
      <c r="F318" s="144">
        <v>0</v>
      </c>
      <c r="G318" s="291">
        <v>0</v>
      </c>
      <c r="H318" s="150">
        <v>0</v>
      </c>
      <c r="I318" s="567">
        <f t="shared" si="8"/>
        <v>0</v>
      </c>
    </row>
    <row r="319" spans="1:9" x14ac:dyDescent="0.15">
      <c r="A319" s="138"/>
      <c r="B319" s="521" t="s">
        <v>845</v>
      </c>
      <c r="C319" s="138" t="s">
        <v>154</v>
      </c>
      <c r="D319" s="144">
        <v>0</v>
      </c>
      <c r="E319" s="144">
        <v>0</v>
      </c>
      <c r="F319" s="144">
        <v>0</v>
      </c>
      <c r="G319" s="291">
        <v>0</v>
      </c>
      <c r="H319" s="150">
        <v>0</v>
      </c>
      <c r="I319" s="567">
        <f t="shared" si="8"/>
        <v>0</v>
      </c>
    </row>
    <row r="320" spans="1:9" x14ac:dyDescent="0.15">
      <c r="A320" s="138"/>
      <c r="B320" s="521" t="s">
        <v>846</v>
      </c>
      <c r="C320" s="138" t="s">
        <v>155</v>
      </c>
      <c r="D320" s="144">
        <v>0</v>
      </c>
      <c r="E320" s="144">
        <v>0</v>
      </c>
      <c r="F320" s="144">
        <v>0</v>
      </c>
      <c r="G320" s="291">
        <v>0</v>
      </c>
      <c r="H320" s="150">
        <v>0</v>
      </c>
      <c r="I320" s="567">
        <f t="shared" si="8"/>
        <v>0</v>
      </c>
    </row>
    <row r="321" spans="1:9" x14ac:dyDescent="0.15">
      <c r="A321" s="138"/>
      <c r="B321" s="521" t="s">
        <v>1582</v>
      </c>
      <c r="C321" s="138" t="s">
        <v>156</v>
      </c>
      <c r="D321" s="144">
        <v>0</v>
      </c>
      <c r="E321" s="144">
        <v>0</v>
      </c>
      <c r="F321" s="144">
        <v>0</v>
      </c>
      <c r="G321" s="291">
        <v>0</v>
      </c>
      <c r="H321" s="150">
        <v>0</v>
      </c>
      <c r="I321" s="567">
        <f t="shared" si="8"/>
        <v>0</v>
      </c>
    </row>
    <row r="322" spans="1:9" x14ac:dyDescent="0.15">
      <c r="A322" s="138"/>
      <c r="B322" s="521" t="s">
        <v>847</v>
      </c>
      <c r="C322" s="138" t="s">
        <v>157</v>
      </c>
      <c r="D322" s="144">
        <v>0</v>
      </c>
      <c r="E322" s="144">
        <v>0</v>
      </c>
      <c r="F322" s="144">
        <v>0</v>
      </c>
      <c r="G322" s="291">
        <v>0</v>
      </c>
      <c r="H322" s="150">
        <v>0</v>
      </c>
      <c r="I322" s="567">
        <f t="shared" si="8"/>
        <v>0</v>
      </c>
    </row>
    <row r="323" spans="1:9" x14ac:dyDescent="0.15">
      <c r="A323" s="138"/>
      <c r="B323" s="521" t="s">
        <v>1583</v>
      </c>
      <c r="C323" s="138" t="s">
        <v>160</v>
      </c>
      <c r="D323" s="144">
        <v>0</v>
      </c>
      <c r="E323" s="144">
        <v>0</v>
      </c>
      <c r="F323" s="144">
        <v>0</v>
      </c>
      <c r="G323" s="291">
        <v>0</v>
      </c>
      <c r="H323" s="150">
        <v>0</v>
      </c>
      <c r="I323" s="567">
        <f t="shared" si="8"/>
        <v>0</v>
      </c>
    </row>
    <row r="324" spans="1:9" x14ac:dyDescent="0.15">
      <c r="A324" s="138"/>
      <c r="B324" s="521" t="s">
        <v>634</v>
      </c>
      <c r="C324" s="138" t="s">
        <v>165</v>
      </c>
      <c r="D324" s="144">
        <v>0</v>
      </c>
      <c r="E324" s="144">
        <v>0</v>
      </c>
      <c r="F324" s="144">
        <v>0</v>
      </c>
      <c r="G324" s="291">
        <v>0</v>
      </c>
      <c r="H324" s="150">
        <v>0</v>
      </c>
      <c r="I324" s="567">
        <f t="shared" si="8"/>
        <v>0</v>
      </c>
    </row>
    <row r="325" spans="1:9" x14ac:dyDescent="0.15">
      <c r="A325" s="138"/>
      <c r="B325" s="521" t="s">
        <v>630</v>
      </c>
      <c r="C325" s="138" t="s">
        <v>172</v>
      </c>
      <c r="D325" s="144">
        <v>0</v>
      </c>
      <c r="E325" s="144">
        <v>0</v>
      </c>
      <c r="F325" s="144">
        <v>0</v>
      </c>
      <c r="G325" s="291">
        <v>0</v>
      </c>
      <c r="H325" s="150">
        <v>0</v>
      </c>
      <c r="I325" s="567">
        <f t="shared" si="8"/>
        <v>0</v>
      </c>
    </row>
    <row r="326" spans="1:9" x14ac:dyDescent="0.15">
      <c r="A326" s="138"/>
      <c r="B326" s="650" t="s">
        <v>631</v>
      </c>
      <c r="C326" s="651" t="s">
        <v>173</v>
      </c>
      <c r="D326" s="144">
        <v>0</v>
      </c>
      <c r="E326" s="144">
        <v>0</v>
      </c>
      <c r="F326" s="144">
        <v>0</v>
      </c>
      <c r="G326" s="291">
        <v>0</v>
      </c>
      <c r="H326" s="150">
        <v>0</v>
      </c>
      <c r="I326" s="567">
        <f t="shared" si="8"/>
        <v>0</v>
      </c>
    </row>
    <row r="327" spans="1:9" x14ac:dyDescent="0.15">
      <c r="A327" s="138"/>
      <c r="B327" s="521" t="s">
        <v>1584</v>
      </c>
      <c r="C327" s="138" t="s">
        <v>178</v>
      </c>
      <c r="D327" s="144">
        <v>0</v>
      </c>
      <c r="E327" s="144">
        <v>0</v>
      </c>
      <c r="F327" s="144">
        <v>0</v>
      </c>
      <c r="G327" s="291">
        <v>0</v>
      </c>
      <c r="H327" s="150">
        <v>0</v>
      </c>
      <c r="I327" s="567">
        <f t="shared" si="8"/>
        <v>0</v>
      </c>
    </row>
    <row r="328" spans="1:9" x14ac:dyDescent="0.15">
      <c r="A328" s="138"/>
      <c r="B328" s="521" t="s">
        <v>174</v>
      </c>
      <c r="C328" s="138" t="s">
        <v>179</v>
      </c>
      <c r="D328" s="144">
        <v>0</v>
      </c>
      <c r="E328" s="144">
        <v>0</v>
      </c>
      <c r="F328" s="144">
        <v>0</v>
      </c>
      <c r="G328" s="291">
        <v>0</v>
      </c>
      <c r="H328" s="150">
        <v>0</v>
      </c>
      <c r="I328" s="567">
        <f t="shared" si="8"/>
        <v>0</v>
      </c>
    </row>
    <row r="329" spans="1:9" x14ac:dyDescent="0.15">
      <c r="A329" s="138"/>
      <c r="B329" s="521" t="s">
        <v>175</v>
      </c>
      <c r="C329" s="138" t="s">
        <v>180</v>
      </c>
      <c r="D329" s="144">
        <v>0</v>
      </c>
      <c r="E329" s="144">
        <v>0</v>
      </c>
      <c r="F329" s="144">
        <v>0</v>
      </c>
      <c r="G329" s="291">
        <v>0</v>
      </c>
      <c r="H329" s="150">
        <v>0</v>
      </c>
      <c r="I329" s="567">
        <f t="shared" si="8"/>
        <v>0</v>
      </c>
    </row>
    <row r="330" spans="1:9" ht="11.25" thickBot="1" x14ac:dyDescent="0.2">
      <c r="A330" s="138"/>
      <c r="B330" s="521" t="s">
        <v>176</v>
      </c>
      <c r="C330" s="138" t="s">
        <v>181</v>
      </c>
      <c r="D330" s="144">
        <v>0</v>
      </c>
      <c r="E330" s="144">
        <v>0</v>
      </c>
      <c r="F330" s="144">
        <v>0</v>
      </c>
      <c r="G330" s="291">
        <v>0</v>
      </c>
      <c r="H330" s="150">
        <v>0</v>
      </c>
      <c r="I330" s="567">
        <f t="shared" si="8"/>
        <v>0</v>
      </c>
    </row>
    <row r="331" spans="1:9" ht="12" thickTop="1" thickBot="1" x14ac:dyDescent="0.2">
      <c r="A331" s="138"/>
      <c r="B331" s="521"/>
      <c r="C331" s="138" t="s">
        <v>227</v>
      </c>
      <c r="D331" s="169">
        <f>SUM(D298:D330)</f>
        <v>0</v>
      </c>
      <c r="E331" s="169">
        <f>SUM(E298:E330)</f>
        <v>0</v>
      </c>
      <c r="F331" s="169">
        <f>SUM(F298:F330)</f>
        <v>0</v>
      </c>
      <c r="G331" s="169">
        <f>SUM(G298:G330)</f>
        <v>0</v>
      </c>
      <c r="H331" s="169">
        <f>SUM(H298:H330)</f>
        <v>0</v>
      </c>
      <c r="I331" s="169">
        <f t="shared" si="8"/>
        <v>0</v>
      </c>
    </row>
    <row r="332" spans="1:9" ht="11.25" thickTop="1" x14ac:dyDescent="0.15">
      <c r="A332" s="138"/>
      <c r="B332" s="138"/>
      <c r="C332" s="138"/>
      <c r="D332" s="14"/>
      <c r="E332" s="14"/>
      <c r="F332" s="14"/>
      <c r="G332" s="14"/>
      <c r="H332" s="14"/>
      <c r="I332" s="563"/>
    </row>
    <row r="333" spans="1:9" x14ac:dyDescent="0.15">
      <c r="A333" s="512" t="s">
        <v>235</v>
      </c>
      <c r="B333" s="138"/>
      <c r="C333" s="138"/>
      <c r="D333" s="14"/>
      <c r="E333" s="14"/>
      <c r="F333" s="14"/>
      <c r="G333" s="14"/>
      <c r="H333" s="14"/>
      <c r="I333" s="563"/>
    </row>
    <row r="334" spans="1:9" x14ac:dyDescent="0.15">
      <c r="A334" s="434"/>
      <c r="B334" s="523" t="s">
        <v>1577</v>
      </c>
      <c r="C334" s="524" t="s">
        <v>228</v>
      </c>
      <c r="D334" s="316">
        <v>0</v>
      </c>
      <c r="E334" s="316">
        <v>0</v>
      </c>
      <c r="F334" s="316">
        <v>0</v>
      </c>
      <c r="G334" s="528">
        <f t="array" ref="G334">SUM(IF(CertFund&amp;CertProg&amp;CertObj=RIGHT(LEFT($A$2,7),2)&amp;LEFT(A333,4)&amp;B334,CertSalary))</f>
        <v>0</v>
      </c>
      <c r="H334" s="527">
        <v>0</v>
      </c>
      <c r="I334" s="566">
        <f>SUM(G334+H334)</f>
        <v>0</v>
      </c>
    </row>
    <row r="335" spans="1:9" x14ac:dyDescent="0.15">
      <c r="A335" s="434"/>
      <c r="B335" s="523" t="s">
        <v>1577</v>
      </c>
      <c r="C335" s="524" t="s">
        <v>510</v>
      </c>
      <c r="D335" s="316">
        <v>0</v>
      </c>
      <c r="E335" s="316">
        <v>0</v>
      </c>
      <c r="F335" s="316">
        <v>0</v>
      </c>
      <c r="G335" s="316">
        <v>0</v>
      </c>
      <c r="H335" s="527">
        <v>0</v>
      </c>
      <c r="I335" s="566">
        <f>SUM(G335+H335)</f>
        <v>0</v>
      </c>
    </row>
    <row r="336" spans="1:9" x14ac:dyDescent="0.15">
      <c r="A336" s="524"/>
      <c r="B336" s="523" t="s">
        <v>1578</v>
      </c>
      <c r="C336" s="524" t="s">
        <v>936</v>
      </c>
      <c r="D336" s="316">
        <v>0</v>
      </c>
      <c r="E336" s="316">
        <v>0</v>
      </c>
      <c r="F336" s="316">
        <v>0</v>
      </c>
      <c r="G336" s="529">
        <f t="array" ref="G336">SUM(IF(CertFund&amp;CertProg&amp;CertObj=RIGHT(LEFT($A$2,7),2)&amp;LEFT(A333,4)&amp;B334,CertBen))</f>
        <v>0</v>
      </c>
      <c r="H336" s="527">
        <v>0</v>
      </c>
      <c r="I336" s="566">
        <f>SUM(G336+H336)</f>
        <v>0</v>
      </c>
    </row>
    <row r="337" spans="1:9" x14ac:dyDescent="0.15">
      <c r="A337" s="138"/>
      <c r="B337" s="521" t="s">
        <v>1578</v>
      </c>
      <c r="C337" s="138" t="s">
        <v>511</v>
      </c>
      <c r="D337" s="147">
        <v>0</v>
      </c>
      <c r="E337" s="147">
        <v>0</v>
      </c>
      <c r="F337" s="147">
        <v>0</v>
      </c>
      <c r="G337" s="147">
        <v>0</v>
      </c>
      <c r="H337" s="150">
        <v>0</v>
      </c>
      <c r="I337" s="567">
        <f>SUM(G337+H337)</f>
        <v>0</v>
      </c>
    </row>
    <row r="338" spans="1:9" x14ac:dyDescent="0.15">
      <c r="A338" s="138"/>
      <c r="B338" s="521" t="s">
        <v>1579</v>
      </c>
      <c r="C338" s="138" t="s">
        <v>118</v>
      </c>
      <c r="D338" s="144">
        <v>0</v>
      </c>
      <c r="E338" s="144">
        <v>0</v>
      </c>
      <c r="F338" s="144">
        <v>0</v>
      </c>
      <c r="G338" s="291">
        <v>0</v>
      </c>
      <c r="H338" s="150">
        <v>0</v>
      </c>
      <c r="I338" s="567">
        <f t="shared" ref="I338:I367" si="9">SUM(G338+H338)</f>
        <v>0</v>
      </c>
    </row>
    <row r="339" spans="1:9" x14ac:dyDescent="0.15">
      <c r="A339" s="138"/>
      <c r="B339" s="521" t="s">
        <v>1580</v>
      </c>
      <c r="C339" s="138" t="s">
        <v>119</v>
      </c>
      <c r="D339" s="144">
        <v>0</v>
      </c>
      <c r="E339" s="144">
        <v>0</v>
      </c>
      <c r="F339" s="144">
        <v>0</v>
      </c>
      <c r="G339" s="291">
        <v>0</v>
      </c>
      <c r="H339" s="150">
        <v>0</v>
      </c>
      <c r="I339" s="567">
        <f t="shared" si="9"/>
        <v>0</v>
      </c>
    </row>
    <row r="340" spans="1:9" x14ac:dyDescent="0.15">
      <c r="A340" s="138"/>
      <c r="B340" s="521" t="s">
        <v>120</v>
      </c>
      <c r="C340" s="138" t="s">
        <v>121</v>
      </c>
      <c r="D340" s="144">
        <v>0</v>
      </c>
      <c r="E340" s="144">
        <v>0</v>
      </c>
      <c r="F340" s="144">
        <v>0</v>
      </c>
      <c r="G340" s="291">
        <v>0</v>
      </c>
      <c r="H340" s="150">
        <v>0</v>
      </c>
      <c r="I340" s="567">
        <f t="shared" si="9"/>
        <v>0</v>
      </c>
    </row>
    <row r="341" spans="1:9" x14ac:dyDescent="0.15">
      <c r="A341" s="138"/>
      <c r="B341" s="521" t="s">
        <v>122</v>
      </c>
      <c r="C341" s="138" t="s">
        <v>123</v>
      </c>
      <c r="D341" s="144">
        <v>0</v>
      </c>
      <c r="E341" s="144">
        <v>0</v>
      </c>
      <c r="F341" s="144">
        <v>0</v>
      </c>
      <c r="G341" s="291">
        <v>0</v>
      </c>
      <c r="H341" s="150">
        <v>0</v>
      </c>
      <c r="I341" s="567">
        <f t="shared" si="9"/>
        <v>0</v>
      </c>
    </row>
    <row r="342" spans="1:9" x14ac:dyDescent="0.15">
      <c r="A342" s="138"/>
      <c r="B342" s="521" t="s">
        <v>1581</v>
      </c>
      <c r="C342" s="138" t="s">
        <v>124</v>
      </c>
      <c r="D342" s="144">
        <v>0</v>
      </c>
      <c r="E342" s="144">
        <v>0</v>
      </c>
      <c r="F342" s="144">
        <v>0</v>
      </c>
      <c r="G342" s="291">
        <v>0</v>
      </c>
      <c r="H342" s="150">
        <v>0</v>
      </c>
      <c r="I342" s="567">
        <f t="shared" si="9"/>
        <v>0</v>
      </c>
    </row>
    <row r="343" spans="1:9" x14ac:dyDescent="0.15">
      <c r="A343" s="138"/>
      <c r="B343" s="521" t="s">
        <v>127</v>
      </c>
      <c r="C343" s="138" t="s">
        <v>134</v>
      </c>
      <c r="D343" s="144">
        <v>0</v>
      </c>
      <c r="E343" s="144">
        <v>0</v>
      </c>
      <c r="F343" s="144">
        <v>0</v>
      </c>
      <c r="G343" s="291">
        <v>0</v>
      </c>
      <c r="H343" s="150">
        <v>0</v>
      </c>
      <c r="I343" s="567">
        <f t="shared" si="9"/>
        <v>0</v>
      </c>
    </row>
    <row r="344" spans="1:9" x14ac:dyDescent="0.15">
      <c r="A344" s="138"/>
      <c r="B344" s="521" t="s">
        <v>132</v>
      </c>
      <c r="C344" s="138" t="s">
        <v>1617</v>
      </c>
      <c r="D344" s="144">
        <v>0</v>
      </c>
      <c r="E344" s="144">
        <v>0</v>
      </c>
      <c r="F344" s="144">
        <v>0</v>
      </c>
      <c r="G344" s="291">
        <v>0</v>
      </c>
      <c r="H344" s="150">
        <v>0</v>
      </c>
      <c r="I344" s="567">
        <f t="shared" si="9"/>
        <v>0</v>
      </c>
    </row>
    <row r="345" spans="1:9" x14ac:dyDescent="0.15">
      <c r="A345" s="138"/>
      <c r="B345" s="521" t="s">
        <v>1618</v>
      </c>
      <c r="C345" s="138" t="s">
        <v>836</v>
      </c>
      <c r="D345" s="144">
        <v>0</v>
      </c>
      <c r="E345" s="144">
        <v>0</v>
      </c>
      <c r="F345" s="144">
        <v>0</v>
      </c>
      <c r="G345" s="291">
        <v>0</v>
      </c>
      <c r="H345" s="150">
        <v>0</v>
      </c>
      <c r="I345" s="567">
        <f t="shared" si="9"/>
        <v>0</v>
      </c>
    </row>
    <row r="346" spans="1:9" x14ac:dyDescent="0.15">
      <c r="A346" s="138"/>
      <c r="B346" s="521" t="s">
        <v>1619</v>
      </c>
      <c r="C346" s="138" t="s">
        <v>185</v>
      </c>
      <c r="D346" s="144">
        <v>0</v>
      </c>
      <c r="E346" s="144">
        <v>0</v>
      </c>
      <c r="F346" s="144">
        <v>0</v>
      </c>
      <c r="G346" s="291">
        <v>0</v>
      </c>
      <c r="H346" s="150">
        <v>0</v>
      </c>
      <c r="I346" s="567">
        <f t="shared" si="9"/>
        <v>0</v>
      </c>
    </row>
    <row r="347" spans="1:9" x14ac:dyDescent="0.15">
      <c r="A347" s="138"/>
      <c r="B347" s="521" t="s">
        <v>1620</v>
      </c>
      <c r="C347" s="138" t="s">
        <v>838</v>
      </c>
      <c r="D347" s="144">
        <v>0</v>
      </c>
      <c r="E347" s="144">
        <v>0</v>
      </c>
      <c r="F347" s="144">
        <v>0</v>
      </c>
      <c r="G347" s="291">
        <v>0</v>
      </c>
      <c r="H347" s="150">
        <v>0</v>
      </c>
      <c r="I347" s="567">
        <f t="shared" si="9"/>
        <v>0</v>
      </c>
    </row>
    <row r="348" spans="1:9" x14ac:dyDescent="0.15">
      <c r="A348" s="138"/>
      <c r="B348" s="521" t="s">
        <v>1621</v>
      </c>
      <c r="C348" s="138" t="s">
        <v>839</v>
      </c>
      <c r="D348" s="144">
        <v>0</v>
      </c>
      <c r="E348" s="144">
        <v>0</v>
      </c>
      <c r="F348" s="144">
        <v>0</v>
      </c>
      <c r="G348" s="291">
        <v>0</v>
      </c>
      <c r="H348" s="150">
        <v>0</v>
      </c>
      <c r="I348" s="567">
        <f t="shared" si="9"/>
        <v>0</v>
      </c>
    </row>
    <row r="349" spans="1:9" x14ac:dyDescent="0.15">
      <c r="A349" s="138"/>
      <c r="B349" s="521" t="s">
        <v>1622</v>
      </c>
      <c r="C349" s="138" t="s">
        <v>190</v>
      </c>
      <c r="D349" s="144">
        <v>0</v>
      </c>
      <c r="E349" s="144">
        <v>0</v>
      </c>
      <c r="F349" s="144">
        <v>0</v>
      </c>
      <c r="G349" s="291">
        <v>0</v>
      </c>
      <c r="H349" s="150">
        <v>0</v>
      </c>
      <c r="I349" s="567">
        <f t="shared" si="9"/>
        <v>0</v>
      </c>
    </row>
    <row r="350" spans="1:9" x14ac:dyDescent="0.15">
      <c r="A350" s="138"/>
      <c r="B350" s="521" t="s">
        <v>1623</v>
      </c>
      <c r="C350" s="138" t="s">
        <v>191</v>
      </c>
      <c r="D350" s="144">
        <v>0</v>
      </c>
      <c r="E350" s="144">
        <v>0</v>
      </c>
      <c r="F350" s="144">
        <v>0</v>
      </c>
      <c r="G350" s="291">
        <v>0</v>
      </c>
      <c r="H350" s="150">
        <v>0</v>
      </c>
      <c r="I350" s="567">
        <f t="shared" si="9"/>
        <v>0</v>
      </c>
    </row>
    <row r="351" spans="1:9" x14ac:dyDescent="0.15">
      <c r="A351" s="138"/>
      <c r="B351" s="521" t="s">
        <v>1624</v>
      </c>
      <c r="C351" s="138" t="s">
        <v>840</v>
      </c>
      <c r="D351" s="144">
        <v>0</v>
      </c>
      <c r="E351" s="144">
        <v>0</v>
      </c>
      <c r="F351" s="144">
        <v>0</v>
      </c>
      <c r="G351" s="291">
        <v>0</v>
      </c>
      <c r="H351" s="150">
        <v>0</v>
      </c>
      <c r="I351" s="567">
        <f t="shared" si="9"/>
        <v>0</v>
      </c>
    </row>
    <row r="352" spans="1:9" x14ac:dyDescent="0.15">
      <c r="A352" s="138"/>
      <c r="B352" s="521" t="s">
        <v>1625</v>
      </c>
      <c r="C352" s="138" t="s">
        <v>842</v>
      </c>
      <c r="D352" s="144">
        <v>0</v>
      </c>
      <c r="E352" s="144">
        <v>0</v>
      </c>
      <c r="F352" s="144">
        <v>0</v>
      </c>
      <c r="G352" s="291">
        <v>0</v>
      </c>
      <c r="H352" s="150">
        <v>0</v>
      </c>
      <c r="I352" s="567">
        <f t="shared" si="9"/>
        <v>0</v>
      </c>
    </row>
    <row r="353" spans="1:9" x14ac:dyDescent="0.15">
      <c r="A353" s="138"/>
      <c r="B353" s="521" t="s">
        <v>843</v>
      </c>
      <c r="C353" s="138" t="s">
        <v>848</v>
      </c>
      <c r="D353" s="144">
        <v>0</v>
      </c>
      <c r="E353" s="144">
        <v>0</v>
      </c>
      <c r="F353" s="144">
        <v>0</v>
      </c>
      <c r="G353" s="291">
        <v>0</v>
      </c>
      <c r="H353" s="150">
        <v>0</v>
      </c>
      <c r="I353" s="567">
        <f t="shared" si="9"/>
        <v>0</v>
      </c>
    </row>
    <row r="354" spans="1:9" x14ac:dyDescent="0.15">
      <c r="A354" s="138"/>
      <c r="B354" s="521" t="s">
        <v>844</v>
      </c>
      <c r="C354" s="138" t="s">
        <v>186</v>
      </c>
      <c r="D354" s="144">
        <v>0</v>
      </c>
      <c r="E354" s="144">
        <v>0</v>
      </c>
      <c r="F354" s="144">
        <v>0</v>
      </c>
      <c r="G354" s="291">
        <v>0</v>
      </c>
      <c r="H354" s="150">
        <v>0</v>
      </c>
      <c r="I354" s="567">
        <f t="shared" si="9"/>
        <v>0</v>
      </c>
    </row>
    <row r="355" spans="1:9" x14ac:dyDescent="0.15">
      <c r="A355" s="138"/>
      <c r="B355" s="521" t="s">
        <v>845</v>
      </c>
      <c r="C355" s="138" t="s">
        <v>154</v>
      </c>
      <c r="D355" s="144">
        <v>0</v>
      </c>
      <c r="E355" s="144">
        <v>0</v>
      </c>
      <c r="F355" s="144">
        <v>0</v>
      </c>
      <c r="G355" s="291">
        <v>0</v>
      </c>
      <c r="H355" s="150">
        <v>0</v>
      </c>
      <c r="I355" s="567">
        <f t="shared" si="9"/>
        <v>0</v>
      </c>
    </row>
    <row r="356" spans="1:9" x14ac:dyDescent="0.15">
      <c r="A356" s="138"/>
      <c r="B356" s="521" t="s">
        <v>846</v>
      </c>
      <c r="C356" s="138" t="s">
        <v>155</v>
      </c>
      <c r="D356" s="144">
        <v>0</v>
      </c>
      <c r="E356" s="144">
        <v>0</v>
      </c>
      <c r="F356" s="144">
        <v>0</v>
      </c>
      <c r="G356" s="291">
        <v>0</v>
      </c>
      <c r="H356" s="150">
        <v>0</v>
      </c>
      <c r="I356" s="567">
        <f t="shared" si="9"/>
        <v>0</v>
      </c>
    </row>
    <row r="357" spans="1:9" x14ac:dyDescent="0.15">
      <c r="A357" s="138"/>
      <c r="B357" s="521" t="s">
        <v>1582</v>
      </c>
      <c r="C357" s="138" t="s">
        <v>156</v>
      </c>
      <c r="D357" s="144">
        <v>0</v>
      </c>
      <c r="E357" s="144">
        <v>0</v>
      </c>
      <c r="F357" s="144">
        <v>0</v>
      </c>
      <c r="G357" s="291">
        <v>0</v>
      </c>
      <c r="H357" s="150">
        <v>0</v>
      </c>
      <c r="I357" s="567">
        <f t="shared" si="9"/>
        <v>0</v>
      </c>
    </row>
    <row r="358" spans="1:9" x14ac:dyDescent="0.15">
      <c r="A358" s="138"/>
      <c r="B358" s="521" t="s">
        <v>847</v>
      </c>
      <c r="C358" s="138" t="s">
        <v>157</v>
      </c>
      <c r="D358" s="144">
        <v>0</v>
      </c>
      <c r="E358" s="144">
        <v>0</v>
      </c>
      <c r="F358" s="144">
        <v>0</v>
      </c>
      <c r="G358" s="291">
        <v>0</v>
      </c>
      <c r="H358" s="150">
        <v>0</v>
      </c>
      <c r="I358" s="567">
        <f t="shared" si="9"/>
        <v>0</v>
      </c>
    </row>
    <row r="359" spans="1:9" x14ac:dyDescent="0.15">
      <c r="A359" s="138"/>
      <c r="B359" s="521" t="s">
        <v>1583</v>
      </c>
      <c r="C359" s="138" t="s">
        <v>160</v>
      </c>
      <c r="D359" s="144">
        <v>0</v>
      </c>
      <c r="E359" s="144">
        <v>0</v>
      </c>
      <c r="F359" s="144">
        <v>0</v>
      </c>
      <c r="G359" s="291">
        <v>0</v>
      </c>
      <c r="H359" s="150">
        <v>0</v>
      </c>
      <c r="I359" s="567">
        <f t="shared" si="9"/>
        <v>0</v>
      </c>
    </row>
    <row r="360" spans="1:9" x14ac:dyDescent="0.15">
      <c r="A360" s="138"/>
      <c r="B360" s="521" t="s">
        <v>634</v>
      </c>
      <c r="C360" s="138" t="s">
        <v>165</v>
      </c>
      <c r="D360" s="144">
        <v>0</v>
      </c>
      <c r="E360" s="144">
        <v>0</v>
      </c>
      <c r="F360" s="144">
        <v>0</v>
      </c>
      <c r="G360" s="291">
        <v>0</v>
      </c>
      <c r="H360" s="150">
        <v>0</v>
      </c>
      <c r="I360" s="567">
        <f t="shared" si="9"/>
        <v>0</v>
      </c>
    </row>
    <row r="361" spans="1:9" x14ac:dyDescent="0.15">
      <c r="A361" s="138"/>
      <c r="B361" s="521" t="s">
        <v>630</v>
      </c>
      <c r="C361" s="138" t="s">
        <v>172</v>
      </c>
      <c r="D361" s="144">
        <v>0</v>
      </c>
      <c r="E361" s="144">
        <v>0</v>
      </c>
      <c r="F361" s="144">
        <v>0</v>
      </c>
      <c r="G361" s="291">
        <v>0</v>
      </c>
      <c r="H361" s="150">
        <v>0</v>
      </c>
      <c r="I361" s="567">
        <f t="shared" si="9"/>
        <v>0</v>
      </c>
    </row>
    <row r="362" spans="1:9" x14ac:dyDescent="0.15">
      <c r="A362" s="138"/>
      <c r="B362" s="650" t="s">
        <v>631</v>
      </c>
      <c r="C362" s="651" t="s">
        <v>173</v>
      </c>
      <c r="D362" s="144">
        <v>0</v>
      </c>
      <c r="E362" s="144">
        <v>0</v>
      </c>
      <c r="F362" s="144">
        <v>0</v>
      </c>
      <c r="G362" s="291">
        <v>0</v>
      </c>
      <c r="H362" s="150">
        <v>0</v>
      </c>
      <c r="I362" s="567">
        <f t="shared" si="9"/>
        <v>0</v>
      </c>
    </row>
    <row r="363" spans="1:9" x14ac:dyDescent="0.15">
      <c r="A363" s="138"/>
      <c r="B363" s="521" t="s">
        <v>1584</v>
      </c>
      <c r="C363" s="138" t="s">
        <v>178</v>
      </c>
      <c r="D363" s="144">
        <v>0</v>
      </c>
      <c r="E363" s="144">
        <v>0</v>
      </c>
      <c r="F363" s="144">
        <v>0</v>
      </c>
      <c r="G363" s="291">
        <v>0</v>
      </c>
      <c r="H363" s="150">
        <v>0</v>
      </c>
      <c r="I363" s="567">
        <f t="shared" si="9"/>
        <v>0</v>
      </c>
    </row>
    <row r="364" spans="1:9" x14ac:dyDescent="0.15">
      <c r="A364" s="138"/>
      <c r="B364" s="521" t="s">
        <v>174</v>
      </c>
      <c r="C364" s="138" t="s">
        <v>179</v>
      </c>
      <c r="D364" s="144">
        <v>0</v>
      </c>
      <c r="E364" s="144">
        <v>0</v>
      </c>
      <c r="F364" s="144">
        <v>0</v>
      </c>
      <c r="G364" s="291">
        <v>0</v>
      </c>
      <c r="H364" s="150">
        <v>0</v>
      </c>
      <c r="I364" s="567">
        <f t="shared" si="9"/>
        <v>0</v>
      </c>
    </row>
    <row r="365" spans="1:9" x14ac:dyDescent="0.15">
      <c r="A365" s="138"/>
      <c r="B365" s="521" t="s">
        <v>175</v>
      </c>
      <c r="C365" s="138" t="s">
        <v>180</v>
      </c>
      <c r="D365" s="144">
        <v>0</v>
      </c>
      <c r="E365" s="144">
        <v>0</v>
      </c>
      <c r="F365" s="144">
        <v>0</v>
      </c>
      <c r="G365" s="291">
        <v>0</v>
      </c>
      <c r="H365" s="150">
        <v>0</v>
      </c>
      <c r="I365" s="567">
        <f t="shared" si="9"/>
        <v>0</v>
      </c>
    </row>
    <row r="366" spans="1:9" ht="11.25" thickBot="1" x14ac:dyDescent="0.2">
      <c r="A366" s="138"/>
      <c r="B366" s="521" t="s">
        <v>176</v>
      </c>
      <c r="C366" s="138" t="s">
        <v>181</v>
      </c>
      <c r="D366" s="144">
        <v>0</v>
      </c>
      <c r="E366" s="144">
        <v>0</v>
      </c>
      <c r="F366" s="144">
        <v>0</v>
      </c>
      <c r="G366" s="291">
        <v>0</v>
      </c>
      <c r="H366" s="150">
        <v>0</v>
      </c>
      <c r="I366" s="567">
        <f t="shared" si="9"/>
        <v>0</v>
      </c>
    </row>
    <row r="367" spans="1:9" ht="12" thickTop="1" thickBot="1" x14ac:dyDescent="0.2">
      <c r="A367" s="138"/>
      <c r="B367" s="521"/>
      <c r="C367" s="138" t="s">
        <v>236</v>
      </c>
      <c r="D367" s="169">
        <f>SUM(D334:D366)</f>
        <v>0</v>
      </c>
      <c r="E367" s="169">
        <f>SUM(E334:E366)</f>
        <v>0</v>
      </c>
      <c r="F367" s="169">
        <f>SUM(F334:F366)</f>
        <v>0</v>
      </c>
      <c r="G367" s="169">
        <f>SUM(G334:G366)</f>
        <v>0</v>
      </c>
      <c r="H367" s="169">
        <f>SUM(H334:H366)</f>
        <v>0</v>
      </c>
      <c r="I367" s="169">
        <f t="shared" si="9"/>
        <v>0</v>
      </c>
    </row>
    <row r="368" spans="1:9" ht="11.25" thickTop="1" x14ac:dyDescent="0.15">
      <c r="A368" s="138"/>
      <c r="B368" s="521"/>
      <c r="C368" s="138"/>
      <c r="D368" s="14"/>
      <c r="E368" s="14"/>
      <c r="F368" s="14"/>
      <c r="G368" s="14"/>
      <c r="H368" s="14"/>
      <c r="I368" s="563"/>
    </row>
    <row r="369" spans="1:9" x14ac:dyDescent="0.15">
      <c r="A369" s="512" t="s">
        <v>239</v>
      </c>
      <c r="B369" s="138"/>
      <c r="C369" s="138"/>
      <c r="D369" s="14"/>
      <c r="E369" s="14"/>
      <c r="F369" s="14"/>
      <c r="G369" s="14"/>
      <c r="H369" s="14"/>
      <c r="I369" s="563"/>
    </row>
    <row r="370" spans="1:9" x14ac:dyDescent="0.15">
      <c r="A370" s="522" t="s">
        <v>238</v>
      </c>
      <c r="B370" s="138"/>
      <c r="C370" s="138"/>
      <c r="D370" s="14"/>
      <c r="E370" s="14"/>
      <c r="F370" s="14"/>
      <c r="G370" s="14"/>
      <c r="H370" s="14"/>
      <c r="I370" s="563"/>
    </row>
    <row r="371" spans="1:9" x14ac:dyDescent="0.15">
      <c r="A371" s="434"/>
      <c r="B371" s="523" t="s">
        <v>1577</v>
      </c>
      <c r="C371" s="524" t="s">
        <v>228</v>
      </c>
      <c r="D371" s="316">
        <v>0</v>
      </c>
      <c r="E371" s="316">
        <v>0</v>
      </c>
      <c r="F371" s="316">
        <v>0</v>
      </c>
      <c r="G371" s="528">
        <f t="array" ref="G371">SUM(IF(CertFund&amp;CertProg&amp;CertObj=RIGHT(LEFT($A$2,7),2)&amp;LEFT(A370,4)&amp;B371,CertSalary))</f>
        <v>0</v>
      </c>
      <c r="H371" s="527">
        <v>0</v>
      </c>
      <c r="I371" s="566">
        <f>SUM(G371+H371)</f>
        <v>0</v>
      </c>
    </row>
    <row r="372" spans="1:9" x14ac:dyDescent="0.15">
      <c r="A372" s="434"/>
      <c r="B372" s="523" t="s">
        <v>1577</v>
      </c>
      <c r="C372" s="524" t="s">
        <v>510</v>
      </c>
      <c r="D372" s="316">
        <v>0</v>
      </c>
      <c r="E372" s="316">
        <v>0</v>
      </c>
      <c r="F372" s="316">
        <v>0</v>
      </c>
      <c r="G372" s="316">
        <v>0</v>
      </c>
      <c r="H372" s="527">
        <v>0</v>
      </c>
      <c r="I372" s="566">
        <f>SUM(G372+H372)</f>
        <v>0</v>
      </c>
    </row>
    <row r="373" spans="1:9" x14ac:dyDescent="0.15">
      <c r="A373" s="524"/>
      <c r="B373" s="523" t="s">
        <v>1578</v>
      </c>
      <c r="C373" s="524" t="s">
        <v>936</v>
      </c>
      <c r="D373" s="316">
        <v>0</v>
      </c>
      <c r="E373" s="316">
        <v>0</v>
      </c>
      <c r="F373" s="316">
        <v>0</v>
      </c>
      <c r="G373" s="529">
        <f t="array" ref="G373">SUM(IF(CertFund&amp;CertProg&amp;CertObj=RIGHT(LEFT($A$2,7),2)&amp;LEFT(A370,4)&amp;B371,CertBen))</f>
        <v>0</v>
      </c>
      <c r="H373" s="527">
        <v>0</v>
      </c>
      <c r="I373" s="566">
        <f>SUM(G373+H373)</f>
        <v>0</v>
      </c>
    </row>
    <row r="374" spans="1:9" x14ac:dyDescent="0.15">
      <c r="A374" s="138"/>
      <c r="B374" s="521" t="s">
        <v>1578</v>
      </c>
      <c r="C374" s="138" t="s">
        <v>511</v>
      </c>
      <c r="D374" s="147">
        <v>0</v>
      </c>
      <c r="E374" s="147">
        <v>0</v>
      </c>
      <c r="F374" s="147">
        <v>0</v>
      </c>
      <c r="G374" s="147">
        <v>0</v>
      </c>
      <c r="H374" s="150">
        <v>0</v>
      </c>
      <c r="I374" s="567">
        <f>SUM(G374+H374)</f>
        <v>0</v>
      </c>
    </row>
    <row r="375" spans="1:9" x14ac:dyDescent="0.15">
      <c r="A375" s="138"/>
      <c r="B375" s="523" t="s">
        <v>1579</v>
      </c>
      <c r="C375" s="524" t="s">
        <v>118</v>
      </c>
      <c r="D375" s="144">
        <v>0</v>
      </c>
      <c r="E375" s="144">
        <v>0</v>
      </c>
      <c r="F375" s="144">
        <v>0</v>
      </c>
      <c r="G375" s="291">
        <v>0</v>
      </c>
      <c r="H375" s="150">
        <v>0</v>
      </c>
      <c r="I375" s="567">
        <f t="shared" ref="I375:I403" si="10">SUM(G375+H375)</f>
        <v>0</v>
      </c>
    </row>
    <row r="376" spans="1:9" x14ac:dyDescent="0.15">
      <c r="A376" s="138"/>
      <c r="B376" s="523" t="s">
        <v>1580</v>
      </c>
      <c r="C376" s="524" t="s">
        <v>119</v>
      </c>
      <c r="D376" s="144">
        <v>0</v>
      </c>
      <c r="E376" s="144">
        <v>0</v>
      </c>
      <c r="F376" s="144">
        <v>0</v>
      </c>
      <c r="G376" s="291">
        <v>0</v>
      </c>
      <c r="H376" s="150">
        <v>0</v>
      </c>
      <c r="I376" s="567">
        <f t="shared" si="10"/>
        <v>0</v>
      </c>
    </row>
    <row r="377" spans="1:9" x14ac:dyDescent="0.15">
      <c r="A377" s="138"/>
      <c r="B377" s="523" t="s">
        <v>120</v>
      </c>
      <c r="C377" s="524" t="s">
        <v>121</v>
      </c>
      <c r="D377" s="144">
        <v>0</v>
      </c>
      <c r="E377" s="144">
        <v>0</v>
      </c>
      <c r="F377" s="144">
        <v>0</v>
      </c>
      <c r="G377" s="291">
        <v>0</v>
      </c>
      <c r="H377" s="150">
        <v>0</v>
      </c>
      <c r="I377" s="567">
        <f t="shared" si="10"/>
        <v>0</v>
      </c>
    </row>
    <row r="378" spans="1:9" x14ac:dyDescent="0.15">
      <c r="A378" s="138"/>
      <c r="B378" s="523" t="s">
        <v>122</v>
      </c>
      <c r="C378" s="524" t="s">
        <v>123</v>
      </c>
      <c r="D378" s="144">
        <v>0</v>
      </c>
      <c r="E378" s="144">
        <v>0</v>
      </c>
      <c r="F378" s="144">
        <v>0</v>
      </c>
      <c r="G378" s="291">
        <v>0</v>
      </c>
      <c r="H378" s="150">
        <v>0</v>
      </c>
      <c r="I378" s="567">
        <f t="shared" si="10"/>
        <v>0</v>
      </c>
    </row>
    <row r="379" spans="1:9" x14ac:dyDescent="0.15">
      <c r="A379" s="138"/>
      <c r="B379" s="523" t="s">
        <v>1581</v>
      </c>
      <c r="C379" s="524" t="s">
        <v>124</v>
      </c>
      <c r="D379" s="144">
        <v>0</v>
      </c>
      <c r="E379" s="144">
        <v>0</v>
      </c>
      <c r="F379" s="144">
        <v>0</v>
      </c>
      <c r="G379" s="291">
        <v>0</v>
      </c>
      <c r="H379" s="150">
        <v>0</v>
      </c>
      <c r="I379" s="567">
        <f t="shared" si="10"/>
        <v>0</v>
      </c>
    </row>
    <row r="380" spans="1:9" x14ac:dyDescent="0.15">
      <c r="A380" s="138"/>
      <c r="B380" s="523" t="s">
        <v>127</v>
      </c>
      <c r="C380" s="524" t="s">
        <v>134</v>
      </c>
      <c r="D380" s="144">
        <v>0</v>
      </c>
      <c r="E380" s="144">
        <v>0</v>
      </c>
      <c r="F380" s="144">
        <v>0</v>
      </c>
      <c r="G380" s="291">
        <v>0</v>
      </c>
      <c r="H380" s="150">
        <v>0</v>
      </c>
      <c r="I380" s="567">
        <f t="shared" si="10"/>
        <v>0</v>
      </c>
    </row>
    <row r="381" spans="1:9" x14ac:dyDescent="0.15">
      <c r="A381" s="138"/>
      <c r="B381" s="523" t="s">
        <v>128</v>
      </c>
      <c r="C381" s="524" t="s">
        <v>135</v>
      </c>
      <c r="D381" s="144">
        <v>0</v>
      </c>
      <c r="E381" s="144">
        <v>0</v>
      </c>
      <c r="F381" s="144">
        <v>0</v>
      </c>
      <c r="G381" s="291">
        <v>0</v>
      </c>
      <c r="H381" s="150">
        <v>0</v>
      </c>
      <c r="I381" s="567">
        <f t="shared" si="10"/>
        <v>0</v>
      </c>
    </row>
    <row r="382" spans="1:9" x14ac:dyDescent="0.15">
      <c r="A382" s="138"/>
      <c r="B382" s="523" t="s">
        <v>132</v>
      </c>
      <c r="C382" s="524" t="s">
        <v>1617</v>
      </c>
      <c r="D382" s="144">
        <v>0</v>
      </c>
      <c r="E382" s="144">
        <v>0</v>
      </c>
      <c r="F382" s="144">
        <v>0</v>
      </c>
      <c r="G382" s="291">
        <v>0</v>
      </c>
      <c r="H382" s="150">
        <v>0</v>
      </c>
      <c r="I382" s="567">
        <f t="shared" si="10"/>
        <v>0</v>
      </c>
    </row>
    <row r="383" spans="1:9" x14ac:dyDescent="0.15">
      <c r="A383" s="138"/>
      <c r="B383" s="523" t="s">
        <v>1618</v>
      </c>
      <c r="C383" s="524" t="s">
        <v>836</v>
      </c>
      <c r="D383" s="144">
        <v>0</v>
      </c>
      <c r="E383" s="144">
        <v>0</v>
      </c>
      <c r="F383" s="144">
        <v>0</v>
      </c>
      <c r="G383" s="291">
        <v>0</v>
      </c>
      <c r="H383" s="150">
        <v>0</v>
      </c>
      <c r="I383" s="567">
        <f t="shared" si="10"/>
        <v>0</v>
      </c>
    </row>
    <row r="384" spans="1:9" x14ac:dyDescent="0.15">
      <c r="A384" s="138"/>
      <c r="B384" s="523" t="s">
        <v>1619</v>
      </c>
      <c r="C384" s="524" t="s">
        <v>837</v>
      </c>
      <c r="D384" s="144">
        <v>0</v>
      </c>
      <c r="E384" s="144">
        <v>0</v>
      </c>
      <c r="F384" s="144">
        <v>0</v>
      </c>
      <c r="G384" s="291">
        <v>0</v>
      </c>
      <c r="H384" s="150">
        <v>0</v>
      </c>
      <c r="I384" s="567">
        <f t="shared" si="10"/>
        <v>0</v>
      </c>
    </row>
    <row r="385" spans="1:9" x14ac:dyDescent="0.15">
      <c r="A385" s="138"/>
      <c r="B385" s="523" t="s">
        <v>1620</v>
      </c>
      <c r="C385" s="524" t="s">
        <v>838</v>
      </c>
      <c r="D385" s="144">
        <v>0</v>
      </c>
      <c r="E385" s="144">
        <v>0</v>
      </c>
      <c r="F385" s="144">
        <v>0</v>
      </c>
      <c r="G385" s="291">
        <v>0</v>
      </c>
      <c r="H385" s="150">
        <v>0</v>
      </c>
      <c r="I385" s="567">
        <f t="shared" si="10"/>
        <v>0</v>
      </c>
    </row>
    <row r="386" spans="1:9" x14ac:dyDescent="0.15">
      <c r="A386" s="138"/>
      <c r="B386" s="523" t="s">
        <v>1621</v>
      </c>
      <c r="C386" s="524" t="s">
        <v>839</v>
      </c>
      <c r="D386" s="144">
        <v>0</v>
      </c>
      <c r="E386" s="144">
        <v>0</v>
      </c>
      <c r="F386" s="144">
        <v>0</v>
      </c>
      <c r="G386" s="291">
        <v>0</v>
      </c>
      <c r="H386" s="150">
        <v>0</v>
      </c>
      <c r="I386" s="567">
        <f t="shared" si="10"/>
        <v>0</v>
      </c>
    </row>
    <row r="387" spans="1:9" x14ac:dyDescent="0.15">
      <c r="A387" s="138"/>
      <c r="B387" s="523" t="s">
        <v>1622</v>
      </c>
      <c r="C387" s="524" t="s">
        <v>190</v>
      </c>
      <c r="D387" s="144">
        <v>0</v>
      </c>
      <c r="E387" s="144">
        <v>0</v>
      </c>
      <c r="F387" s="144">
        <v>0</v>
      </c>
      <c r="G387" s="291">
        <v>0</v>
      </c>
      <c r="H387" s="150">
        <v>0</v>
      </c>
      <c r="I387" s="567">
        <f t="shared" si="10"/>
        <v>0</v>
      </c>
    </row>
    <row r="388" spans="1:9" x14ac:dyDescent="0.15">
      <c r="A388" s="138"/>
      <c r="B388" s="523" t="s">
        <v>1623</v>
      </c>
      <c r="C388" s="524" t="s">
        <v>191</v>
      </c>
      <c r="D388" s="144">
        <v>0</v>
      </c>
      <c r="E388" s="144">
        <v>0</v>
      </c>
      <c r="F388" s="144">
        <v>0</v>
      </c>
      <c r="G388" s="291">
        <v>0</v>
      </c>
      <c r="H388" s="150">
        <v>0</v>
      </c>
      <c r="I388" s="567">
        <f t="shared" si="10"/>
        <v>0</v>
      </c>
    </row>
    <row r="389" spans="1:9" x14ac:dyDescent="0.15">
      <c r="A389" s="138"/>
      <c r="B389" s="523" t="s">
        <v>1624</v>
      </c>
      <c r="C389" s="524" t="s">
        <v>840</v>
      </c>
      <c r="D389" s="144">
        <v>0</v>
      </c>
      <c r="E389" s="144">
        <v>0</v>
      </c>
      <c r="F389" s="144">
        <v>0</v>
      </c>
      <c r="G389" s="291">
        <v>0</v>
      </c>
      <c r="H389" s="150">
        <v>0</v>
      </c>
      <c r="I389" s="567">
        <f t="shared" si="10"/>
        <v>0</v>
      </c>
    </row>
    <row r="390" spans="1:9" x14ac:dyDescent="0.15">
      <c r="A390" s="138"/>
      <c r="B390" s="523" t="s">
        <v>1625</v>
      </c>
      <c r="C390" s="524" t="s">
        <v>842</v>
      </c>
      <c r="D390" s="144">
        <v>0</v>
      </c>
      <c r="E390" s="144">
        <v>0</v>
      </c>
      <c r="F390" s="144">
        <v>0</v>
      </c>
      <c r="G390" s="291">
        <v>0</v>
      </c>
      <c r="H390" s="150">
        <v>0</v>
      </c>
      <c r="I390" s="567">
        <f t="shared" si="10"/>
        <v>0</v>
      </c>
    </row>
    <row r="391" spans="1:9" x14ac:dyDescent="0.15">
      <c r="A391" s="138"/>
      <c r="B391" s="523" t="s">
        <v>843</v>
      </c>
      <c r="C391" s="524" t="s">
        <v>848</v>
      </c>
      <c r="D391" s="144">
        <v>0</v>
      </c>
      <c r="E391" s="144">
        <v>0</v>
      </c>
      <c r="F391" s="144">
        <v>0</v>
      </c>
      <c r="G391" s="291">
        <v>0</v>
      </c>
      <c r="H391" s="150">
        <v>0</v>
      </c>
      <c r="I391" s="567">
        <f t="shared" si="10"/>
        <v>0</v>
      </c>
    </row>
    <row r="392" spans="1:9" x14ac:dyDescent="0.15">
      <c r="A392" s="138"/>
      <c r="B392" s="523" t="s">
        <v>844</v>
      </c>
      <c r="C392" s="524" t="s">
        <v>153</v>
      </c>
      <c r="D392" s="144">
        <v>0</v>
      </c>
      <c r="E392" s="144">
        <v>0</v>
      </c>
      <c r="F392" s="144">
        <v>0</v>
      </c>
      <c r="G392" s="291">
        <v>0</v>
      </c>
      <c r="H392" s="150">
        <v>0</v>
      </c>
      <c r="I392" s="567">
        <f t="shared" si="10"/>
        <v>0</v>
      </c>
    </row>
    <row r="393" spans="1:9" x14ac:dyDescent="0.15">
      <c r="A393" s="138"/>
      <c r="B393" s="523" t="s">
        <v>845</v>
      </c>
      <c r="C393" s="524" t="s">
        <v>154</v>
      </c>
      <c r="D393" s="144">
        <v>0</v>
      </c>
      <c r="E393" s="144">
        <v>0</v>
      </c>
      <c r="F393" s="144">
        <v>0</v>
      </c>
      <c r="G393" s="291">
        <v>0</v>
      </c>
      <c r="H393" s="150">
        <v>0</v>
      </c>
      <c r="I393" s="567">
        <f t="shared" si="10"/>
        <v>0</v>
      </c>
    </row>
    <row r="394" spans="1:9" x14ac:dyDescent="0.15">
      <c r="A394" s="138"/>
      <c r="B394" s="523" t="s">
        <v>846</v>
      </c>
      <c r="C394" s="524" t="s">
        <v>155</v>
      </c>
      <c r="D394" s="144">
        <v>0</v>
      </c>
      <c r="E394" s="144">
        <v>0</v>
      </c>
      <c r="F394" s="144">
        <v>0</v>
      </c>
      <c r="G394" s="291">
        <v>0</v>
      </c>
      <c r="H394" s="150">
        <v>0</v>
      </c>
      <c r="I394" s="567">
        <f t="shared" si="10"/>
        <v>0</v>
      </c>
    </row>
    <row r="395" spans="1:9" x14ac:dyDescent="0.15">
      <c r="A395" s="138"/>
      <c r="B395" s="523" t="s">
        <v>1582</v>
      </c>
      <c r="C395" s="524" t="s">
        <v>156</v>
      </c>
      <c r="D395" s="144">
        <v>0</v>
      </c>
      <c r="E395" s="144">
        <v>0</v>
      </c>
      <c r="F395" s="144">
        <v>0</v>
      </c>
      <c r="G395" s="291">
        <v>0</v>
      </c>
      <c r="H395" s="150">
        <v>0</v>
      </c>
      <c r="I395" s="567">
        <f t="shared" si="10"/>
        <v>0</v>
      </c>
    </row>
    <row r="396" spans="1:9" x14ac:dyDescent="0.15">
      <c r="A396" s="138"/>
      <c r="B396" s="523" t="s">
        <v>847</v>
      </c>
      <c r="C396" s="524" t="s">
        <v>157</v>
      </c>
      <c r="D396" s="144">
        <v>0</v>
      </c>
      <c r="E396" s="144">
        <v>0</v>
      </c>
      <c r="F396" s="144">
        <v>0</v>
      </c>
      <c r="G396" s="291">
        <v>0</v>
      </c>
      <c r="H396" s="150">
        <v>0</v>
      </c>
      <c r="I396" s="567">
        <f t="shared" si="10"/>
        <v>0</v>
      </c>
    </row>
    <row r="397" spans="1:9" x14ac:dyDescent="0.15">
      <c r="A397" s="138"/>
      <c r="B397" s="523" t="s">
        <v>1583</v>
      </c>
      <c r="C397" s="524" t="s">
        <v>160</v>
      </c>
      <c r="D397" s="144">
        <v>0</v>
      </c>
      <c r="E397" s="144">
        <v>0</v>
      </c>
      <c r="F397" s="144">
        <v>0</v>
      </c>
      <c r="G397" s="291">
        <v>0</v>
      </c>
      <c r="H397" s="150">
        <v>0</v>
      </c>
      <c r="I397" s="567">
        <f t="shared" si="10"/>
        <v>0</v>
      </c>
    </row>
    <row r="398" spans="1:9" x14ac:dyDescent="0.15">
      <c r="A398" s="138"/>
      <c r="B398" s="523" t="s">
        <v>634</v>
      </c>
      <c r="C398" s="524" t="s">
        <v>165</v>
      </c>
      <c r="D398" s="144">
        <v>0</v>
      </c>
      <c r="E398" s="144">
        <v>0</v>
      </c>
      <c r="F398" s="144">
        <v>0</v>
      </c>
      <c r="G398" s="291">
        <v>0</v>
      </c>
      <c r="H398" s="150">
        <v>0</v>
      </c>
      <c r="I398" s="567">
        <f t="shared" si="10"/>
        <v>0</v>
      </c>
    </row>
    <row r="399" spans="1:9" x14ac:dyDescent="0.15">
      <c r="A399" s="138"/>
      <c r="B399" s="523" t="s">
        <v>630</v>
      </c>
      <c r="C399" s="524" t="s">
        <v>172</v>
      </c>
      <c r="D399" s="144">
        <v>0</v>
      </c>
      <c r="E399" s="144">
        <v>0</v>
      </c>
      <c r="F399" s="144">
        <v>0</v>
      </c>
      <c r="G399" s="291">
        <v>0</v>
      </c>
      <c r="H399" s="150">
        <v>0</v>
      </c>
      <c r="I399" s="567">
        <f t="shared" si="10"/>
        <v>0</v>
      </c>
    </row>
    <row r="400" spans="1:9" x14ac:dyDescent="0.15">
      <c r="A400" s="138"/>
      <c r="B400" s="650" t="s">
        <v>631</v>
      </c>
      <c r="C400" s="651" t="s">
        <v>173</v>
      </c>
      <c r="D400" s="144">
        <v>0</v>
      </c>
      <c r="E400" s="144">
        <v>0</v>
      </c>
      <c r="F400" s="144">
        <v>0</v>
      </c>
      <c r="G400" s="291">
        <v>0</v>
      </c>
      <c r="H400" s="150">
        <v>0</v>
      </c>
      <c r="I400" s="567">
        <f t="shared" si="10"/>
        <v>0</v>
      </c>
    </row>
    <row r="401" spans="1:9" x14ac:dyDescent="0.15">
      <c r="A401" s="138"/>
      <c r="B401" s="523" t="s">
        <v>1584</v>
      </c>
      <c r="C401" s="524" t="s">
        <v>178</v>
      </c>
      <c r="D401" s="144">
        <v>0</v>
      </c>
      <c r="E401" s="144">
        <v>0</v>
      </c>
      <c r="F401" s="144">
        <v>0</v>
      </c>
      <c r="G401" s="291">
        <v>0</v>
      </c>
      <c r="H401" s="150">
        <v>0</v>
      </c>
      <c r="I401" s="567">
        <f t="shared" si="10"/>
        <v>0</v>
      </c>
    </row>
    <row r="402" spans="1:9" x14ac:dyDescent="0.15">
      <c r="A402" s="138"/>
      <c r="B402" s="523" t="s">
        <v>174</v>
      </c>
      <c r="C402" s="524" t="s">
        <v>179</v>
      </c>
      <c r="D402" s="144">
        <v>0</v>
      </c>
      <c r="E402" s="144">
        <v>0</v>
      </c>
      <c r="F402" s="144">
        <v>0</v>
      </c>
      <c r="G402" s="291">
        <v>0</v>
      </c>
      <c r="H402" s="150">
        <v>0</v>
      </c>
      <c r="I402" s="567">
        <f t="shared" si="10"/>
        <v>0</v>
      </c>
    </row>
    <row r="403" spans="1:9" x14ac:dyDescent="0.15">
      <c r="A403" s="138"/>
      <c r="B403" s="523" t="s">
        <v>175</v>
      </c>
      <c r="C403" s="524" t="s">
        <v>180</v>
      </c>
      <c r="D403" s="144">
        <v>0</v>
      </c>
      <c r="E403" s="144">
        <v>0</v>
      </c>
      <c r="F403" s="144">
        <v>0</v>
      </c>
      <c r="G403" s="291">
        <v>0</v>
      </c>
      <c r="H403" s="150">
        <v>0</v>
      </c>
      <c r="I403" s="567">
        <f t="shared" si="10"/>
        <v>0</v>
      </c>
    </row>
    <row r="404" spans="1:9" ht="11.25" thickBot="1" x14ac:dyDescent="0.2">
      <c r="A404" s="138"/>
      <c r="B404" s="523" t="s">
        <v>176</v>
      </c>
      <c r="C404" s="524" t="s">
        <v>181</v>
      </c>
      <c r="D404" s="144">
        <v>0</v>
      </c>
      <c r="E404" s="144">
        <v>0</v>
      </c>
      <c r="F404" s="144">
        <v>0</v>
      </c>
      <c r="G404" s="291">
        <v>0</v>
      </c>
      <c r="H404" s="150">
        <v>0</v>
      </c>
      <c r="I404" s="567">
        <f>SUM(G404+H404)</f>
        <v>0</v>
      </c>
    </row>
    <row r="405" spans="1:9" ht="12" thickTop="1" thickBot="1" x14ac:dyDescent="0.2">
      <c r="A405" s="138"/>
      <c r="B405" s="523"/>
      <c r="C405" s="524" t="s">
        <v>237</v>
      </c>
      <c r="D405" s="169">
        <f>SUM(D371:D404)</f>
        <v>0</v>
      </c>
      <c r="E405" s="169">
        <f>SUM(E371:E404)</f>
        <v>0</v>
      </c>
      <c r="F405" s="169">
        <f>SUM(F371:F404)</f>
        <v>0</v>
      </c>
      <c r="G405" s="169">
        <f>SUM(G371:G404)</f>
        <v>0</v>
      </c>
      <c r="H405" s="169">
        <f>SUM(H371:H404)</f>
        <v>0</v>
      </c>
      <c r="I405" s="169">
        <f>SUM(G405+H405)</f>
        <v>0</v>
      </c>
    </row>
    <row r="406" spans="1:9" ht="11.25" thickTop="1" x14ac:dyDescent="0.15">
      <c r="A406" s="138"/>
      <c r="B406" s="524"/>
      <c r="C406" s="524"/>
      <c r="D406" s="14"/>
      <c r="E406" s="14"/>
      <c r="F406" s="14"/>
      <c r="G406" s="14"/>
      <c r="H406" s="14"/>
      <c r="I406" s="563"/>
    </row>
    <row r="407" spans="1:9" x14ac:dyDescent="0.15">
      <c r="A407" s="522" t="s">
        <v>240</v>
      </c>
      <c r="B407" s="524"/>
      <c r="C407" s="524"/>
      <c r="D407" s="14"/>
      <c r="E407" s="14"/>
      <c r="F407" s="14"/>
      <c r="G407" s="14"/>
      <c r="H407" s="14"/>
      <c r="I407" s="563"/>
    </row>
    <row r="408" spans="1:9" x14ac:dyDescent="0.15">
      <c r="A408" s="434"/>
      <c r="B408" s="523" t="s">
        <v>1577</v>
      </c>
      <c r="C408" s="524" t="s">
        <v>228</v>
      </c>
      <c r="D408" s="316">
        <v>0</v>
      </c>
      <c r="E408" s="316">
        <v>0</v>
      </c>
      <c r="F408" s="316">
        <v>0</v>
      </c>
      <c r="G408" s="528">
        <f t="array" ref="G408">SUM(IF(CertFund&amp;CertProg&amp;CertObj=RIGHT(LEFT($A$2,7),2)&amp;LEFT(A407,4)&amp;B408,CertSalary))</f>
        <v>0</v>
      </c>
      <c r="H408" s="527">
        <v>0</v>
      </c>
      <c r="I408" s="566">
        <f>SUM(G408+H408)</f>
        <v>0</v>
      </c>
    </row>
    <row r="409" spans="1:9" x14ac:dyDescent="0.15">
      <c r="A409" s="434"/>
      <c r="B409" s="523" t="s">
        <v>1577</v>
      </c>
      <c r="C409" s="524" t="s">
        <v>510</v>
      </c>
      <c r="D409" s="316">
        <v>0</v>
      </c>
      <c r="E409" s="316">
        <v>0</v>
      </c>
      <c r="F409" s="316">
        <v>0</v>
      </c>
      <c r="G409" s="316">
        <v>0</v>
      </c>
      <c r="H409" s="527">
        <v>0</v>
      </c>
      <c r="I409" s="566">
        <f>SUM(G409+H409)</f>
        <v>0</v>
      </c>
    </row>
    <row r="410" spans="1:9" x14ac:dyDescent="0.15">
      <c r="A410" s="524"/>
      <c r="B410" s="523" t="s">
        <v>1578</v>
      </c>
      <c r="C410" s="524" t="s">
        <v>936</v>
      </c>
      <c r="D410" s="316">
        <v>0</v>
      </c>
      <c r="E410" s="316">
        <v>0</v>
      </c>
      <c r="F410" s="316">
        <v>0</v>
      </c>
      <c r="G410" s="529">
        <f t="array" ref="G410">SUM(IF(CertFund&amp;CertProg&amp;CertObj=RIGHT(LEFT($A$2,7),2)&amp;LEFT(A407,4)&amp;B408,CertBen))</f>
        <v>0</v>
      </c>
      <c r="H410" s="527">
        <v>0</v>
      </c>
      <c r="I410" s="566">
        <f>SUM(G410+H410)</f>
        <v>0</v>
      </c>
    </row>
    <row r="411" spans="1:9" x14ac:dyDescent="0.15">
      <c r="A411" s="138"/>
      <c r="B411" s="521" t="s">
        <v>1578</v>
      </c>
      <c r="C411" s="138" t="s">
        <v>511</v>
      </c>
      <c r="D411" s="147">
        <v>0</v>
      </c>
      <c r="E411" s="147">
        <v>0</v>
      </c>
      <c r="F411" s="147">
        <v>0</v>
      </c>
      <c r="G411" s="147">
        <v>0</v>
      </c>
      <c r="H411" s="150">
        <v>0</v>
      </c>
      <c r="I411" s="567">
        <f>SUM(G411+H411)</f>
        <v>0</v>
      </c>
    </row>
    <row r="412" spans="1:9" x14ac:dyDescent="0.15">
      <c r="A412" s="138"/>
      <c r="B412" s="523" t="s">
        <v>1579</v>
      </c>
      <c r="C412" s="524" t="s">
        <v>118</v>
      </c>
      <c r="D412" s="144">
        <v>0</v>
      </c>
      <c r="E412" s="144">
        <v>0</v>
      </c>
      <c r="F412" s="144">
        <v>0</v>
      </c>
      <c r="G412" s="144">
        <v>0</v>
      </c>
      <c r="H412" s="150">
        <v>0</v>
      </c>
      <c r="I412" s="567">
        <f t="shared" ref="I412:I442" si="11">SUM(G412+H412)</f>
        <v>0</v>
      </c>
    </row>
    <row r="413" spans="1:9" x14ac:dyDescent="0.15">
      <c r="A413" s="138"/>
      <c r="B413" s="523" t="s">
        <v>1580</v>
      </c>
      <c r="C413" s="524" t="s">
        <v>119</v>
      </c>
      <c r="D413" s="144">
        <v>0</v>
      </c>
      <c r="E413" s="144">
        <v>0</v>
      </c>
      <c r="F413" s="144">
        <v>0</v>
      </c>
      <c r="G413" s="144">
        <v>0</v>
      </c>
      <c r="H413" s="150">
        <v>0</v>
      </c>
      <c r="I413" s="567">
        <f t="shared" si="11"/>
        <v>0</v>
      </c>
    </row>
    <row r="414" spans="1:9" x14ac:dyDescent="0.15">
      <c r="A414" s="138"/>
      <c r="B414" s="523" t="s">
        <v>120</v>
      </c>
      <c r="C414" s="524" t="s">
        <v>121</v>
      </c>
      <c r="D414" s="144">
        <v>0</v>
      </c>
      <c r="E414" s="144">
        <v>0</v>
      </c>
      <c r="F414" s="144">
        <v>0</v>
      </c>
      <c r="G414" s="144">
        <v>0</v>
      </c>
      <c r="H414" s="150">
        <v>0</v>
      </c>
      <c r="I414" s="567">
        <f t="shared" si="11"/>
        <v>0</v>
      </c>
    </row>
    <row r="415" spans="1:9" x14ac:dyDescent="0.15">
      <c r="A415" s="138"/>
      <c r="B415" s="523" t="s">
        <v>122</v>
      </c>
      <c r="C415" s="524" t="s">
        <v>123</v>
      </c>
      <c r="D415" s="144">
        <v>0</v>
      </c>
      <c r="E415" s="144">
        <v>0</v>
      </c>
      <c r="F415" s="144">
        <v>0</v>
      </c>
      <c r="G415" s="144">
        <v>0</v>
      </c>
      <c r="H415" s="150">
        <v>0</v>
      </c>
      <c r="I415" s="567">
        <f t="shared" si="11"/>
        <v>0</v>
      </c>
    </row>
    <row r="416" spans="1:9" x14ac:dyDescent="0.15">
      <c r="A416" s="138"/>
      <c r="B416" s="523" t="s">
        <v>1581</v>
      </c>
      <c r="C416" s="524" t="s">
        <v>124</v>
      </c>
      <c r="D416" s="144">
        <v>0</v>
      </c>
      <c r="E416" s="144">
        <v>0</v>
      </c>
      <c r="F416" s="144">
        <v>0</v>
      </c>
      <c r="G416" s="144">
        <v>0</v>
      </c>
      <c r="H416" s="150">
        <v>0</v>
      </c>
      <c r="I416" s="567">
        <f t="shared" si="11"/>
        <v>0</v>
      </c>
    </row>
    <row r="417" spans="1:9" x14ac:dyDescent="0.15">
      <c r="A417" s="138"/>
      <c r="B417" s="523" t="s">
        <v>127</v>
      </c>
      <c r="C417" s="524" t="s">
        <v>134</v>
      </c>
      <c r="D417" s="144">
        <v>0</v>
      </c>
      <c r="E417" s="144">
        <v>0</v>
      </c>
      <c r="F417" s="144">
        <v>0</v>
      </c>
      <c r="G417" s="144">
        <v>0</v>
      </c>
      <c r="H417" s="150">
        <v>0</v>
      </c>
      <c r="I417" s="567">
        <f t="shared" si="11"/>
        <v>0</v>
      </c>
    </row>
    <row r="418" spans="1:9" x14ac:dyDescent="0.15">
      <c r="A418" s="138"/>
      <c r="B418" s="523" t="s">
        <v>128</v>
      </c>
      <c r="C418" s="524" t="s">
        <v>135</v>
      </c>
      <c r="D418" s="144">
        <v>0</v>
      </c>
      <c r="E418" s="144">
        <v>0</v>
      </c>
      <c r="F418" s="144">
        <v>0</v>
      </c>
      <c r="G418" s="144">
        <v>0</v>
      </c>
      <c r="H418" s="150">
        <v>0</v>
      </c>
      <c r="I418" s="567">
        <f t="shared" si="11"/>
        <v>0</v>
      </c>
    </row>
    <row r="419" spans="1:9" x14ac:dyDescent="0.15">
      <c r="A419" s="138"/>
      <c r="B419" s="523" t="s">
        <v>132</v>
      </c>
      <c r="C419" s="524" t="s">
        <v>1617</v>
      </c>
      <c r="D419" s="144">
        <v>0</v>
      </c>
      <c r="E419" s="144">
        <v>0</v>
      </c>
      <c r="F419" s="144">
        <v>0</v>
      </c>
      <c r="G419" s="144">
        <v>0</v>
      </c>
      <c r="H419" s="150">
        <v>0</v>
      </c>
      <c r="I419" s="567">
        <f t="shared" si="11"/>
        <v>0</v>
      </c>
    </row>
    <row r="420" spans="1:9" x14ac:dyDescent="0.15">
      <c r="A420" s="138"/>
      <c r="B420" s="523" t="s">
        <v>1618</v>
      </c>
      <c r="C420" s="524" t="s">
        <v>836</v>
      </c>
      <c r="D420" s="144">
        <v>0</v>
      </c>
      <c r="E420" s="144">
        <v>0</v>
      </c>
      <c r="F420" s="144">
        <v>0</v>
      </c>
      <c r="G420" s="144">
        <v>0</v>
      </c>
      <c r="H420" s="150">
        <v>0</v>
      </c>
      <c r="I420" s="567">
        <f t="shared" si="11"/>
        <v>0</v>
      </c>
    </row>
    <row r="421" spans="1:9" x14ac:dyDescent="0.15">
      <c r="A421" s="138"/>
      <c r="B421" s="523" t="s">
        <v>1619</v>
      </c>
      <c r="C421" s="524" t="s">
        <v>837</v>
      </c>
      <c r="D421" s="144">
        <v>0</v>
      </c>
      <c r="E421" s="144">
        <v>0</v>
      </c>
      <c r="F421" s="144">
        <v>0</v>
      </c>
      <c r="G421" s="144">
        <v>0</v>
      </c>
      <c r="H421" s="150">
        <v>0</v>
      </c>
      <c r="I421" s="567">
        <f t="shared" si="11"/>
        <v>0</v>
      </c>
    </row>
    <row r="422" spans="1:9" x14ac:dyDescent="0.15">
      <c r="A422" s="138"/>
      <c r="B422" s="523" t="s">
        <v>1620</v>
      </c>
      <c r="C422" s="524" t="s">
        <v>838</v>
      </c>
      <c r="D422" s="144">
        <v>0</v>
      </c>
      <c r="E422" s="144">
        <v>0</v>
      </c>
      <c r="F422" s="144">
        <v>0</v>
      </c>
      <c r="G422" s="144">
        <v>0</v>
      </c>
      <c r="H422" s="150">
        <v>0</v>
      </c>
      <c r="I422" s="567">
        <f t="shared" si="11"/>
        <v>0</v>
      </c>
    </row>
    <row r="423" spans="1:9" x14ac:dyDescent="0.15">
      <c r="A423" s="138"/>
      <c r="B423" s="523" t="s">
        <v>1621</v>
      </c>
      <c r="C423" s="524" t="s">
        <v>839</v>
      </c>
      <c r="D423" s="144">
        <v>0</v>
      </c>
      <c r="E423" s="144">
        <v>0</v>
      </c>
      <c r="F423" s="144">
        <v>0</v>
      </c>
      <c r="G423" s="144">
        <v>0</v>
      </c>
      <c r="H423" s="150">
        <v>0</v>
      </c>
      <c r="I423" s="567">
        <f t="shared" si="11"/>
        <v>0</v>
      </c>
    </row>
    <row r="424" spans="1:9" x14ac:dyDescent="0.15">
      <c r="A424" s="138"/>
      <c r="B424" s="523" t="s">
        <v>1622</v>
      </c>
      <c r="C424" s="524" t="s">
        <v>190</v>
      </c>
      <c r="D424" s="144">
        <v>0</v>
      </c>
      <c r="E424" s="144">
        <v>0</v>
      </c>
      <c r="F424" s="144">
        <v>0</v>
      </c>
      <c r="G424" s="144">
        <v>0</v>
      </c>
      <c r="H424" s="150">
        <v>0</v>
      </c>
      <c r="I424" s="567">
        <f t="shared" si="11"/>
        <v>0</v>
      </c>
    </row>
    <row r="425" spans="1:9" x14ac:dyDescent="0.15">
      <c r="A425" s="138"/>
      <c r="B425" s="523" t="s">
        <v>1623</v>
      </c>
      <c r="C425" s="524" t="s">
        <v>191</v>
      </c>
      <c r="D425" s="144">
        <v>0</v>
      </c>
      <c r="E425" s="144">
        <v>0</v>
      </c>
      <c r="F425" s="144">
        <v>0</v>
      </c>
      <c r="G425" s="144">
        <v>0</v>
      </c>
      <c r="H425" s="150">
        <v>0</v>
      </c>
      <c r="I425" s="567">
        <f t="shared" si="11"/>
        <v>0</v>
      </c>
    </row>
    <row r="426" spans="1:9" x14ac:dyDescent="0.15">
      <c r="A426" s="138"/>
      <c r="B426" s="523" t="s">
        <v>1624</v>
      </c>
      <c r="C426" s="524" t="s">
        <v>840</v>
      </c>
      <c r="D426" s="144">
        <v>0</v>
      </c>
      <c r="E426" s="144">
        <v>0</v>
      </c>
      <c r="F426" s="144">
        <v>0</v>
      </c>
      <c r="G426" s="144">
        <v>0</v>
      </c>
      <c r="H426" s="150">
        <v>0</v>
      </c>
      <c r="I426" s="567">
        <f t="shared" si="11"/>
        <v>0</v>
      </c>
    </row>
    <row r="427" spans="1:9" x14ac:dyDescent="0.15">
      <c r="A427" s="138"/>
      <c r="B427" s="523" t="s">
        <v>1625</v>
      </c>
      <c r="C427" s="524" t="s">
        <v>842</v>
      </c>
      <c r="D427" s="144">
        <v>0</v>
      </c>
      <c r="E427" s="144">
        <v>0</v>
      </c>
      <c r="F427" s="144">
        <v>0</v>
      </c>
      <c r="G427" s="144">
        <v>0</v>
      </c>
      <c r="H427" s="150">
        <v>0</v>
      </c>
      <c r="I427" s="567">
        <f t="shared" si="11"/>
        <v>0</v>
      </c>
    </row>
    <row r="428" spans="1:9" x14ac:dyDescent="0.15">
      <c r="A428" s="138"/>
      <c r="B428" s="523" t="s">
        <v>843</v>
      </c>
      <c r="C428" s="524" t="s">
        <v>848</v>
      </c>
      <c r="D428" s="144">
        <v>0</v>
      </c>
      <c r="E428" s="144">
        <v>0</v>
      </c>
      <c r="F428" s="144">
        <v>0</v>
      </c>
      <c r="G428" s="144">
        <v>0</v>
      </c>
      <c r="H428" s="150">
        <v>0</v>
      </c>
      <c r="I428" s="567">
        <f t="shared" si="11"/>
        <v>0</v>
      </c>
    </row>
    <row r="429" spans="1:9" x14ac:dyDescent="0.15">
      <c r="A429" s="138"/>
      <c r="B429" s="523" t="s">
        <v>844</v>
      </c>
      <c r="C429" s="524" t="s">
        <v>153</v>
      </c>
      <c r="D429" s="144">
        <v>0</v>
      </c>
      <c r="E429" s="144">
        <v>0</v>
      </c>
      <c r="F429" s="144">
        <v>0</v>
      </c>
      <c r="G429" s="144">
        <v>0</v>
      </c>
      <c r="H429" s="150">
        <v>0</v>
      </c>
      <c r="I429" s="567">
        <f t="shared" si="11"/>
        <v>0</v>
      </c>
    </row>
    <row r="430" spans="1:9" x14ac:dyDescent="0.15">
      <c r="A430" s="138"/>
      <c r="B430" s="523" t="s">
        <v>845</v>
      </c>
      <c r="C430" s="524" t="s">
        <v>154</v>
      </c>
      <c r="D430" s="144">
        <v>0</v>
      </c>
      <c r="E430" s="144">
        <v>0</v>
      </c>
      <c r="F430" s="144">
        <v>0</v>
      </c>
      <c r="G430" s="144">
        <v>0</v>
      </c>
      <c r="H430" s="150">
        <v>0</v>
      </c>
      <c r="I430" s="567">
        <f t="shared" si="11"/>
        <v>0</v>
      </c>
    </row>
    <row r="431" spans="1:9" x14ac:dyDescent="0.15">
      <c r="A431" s="138"/>
      <c r="B431" s="523" t="s">
        <v>846</v>
      </c>
      <c r="C431" s="524" t="s">
        <v>155</v>
      </c>
      <c r="D431" s="144">
        <v>0</v>
      </c>
      <c r="E431" s="144">
        <v>0</v>
      </c>
      <c r="F431" s="144">
        <v>0</v>
      </c>
      <c r="G431" s="144">
        <v>0</v>
      </c>
      <c r="H431" s="150">
        <v>0</v>
      </c>
      <c r="I431" s="567">
        <f t="shared" si="11"/>
        <v>0</v>
      </c>
    </row>
    <row r="432" spans="1:9" x14ac:dyDescent="0.15">
      <c r="A432" s="138"/>
      <c r="B432" s="523" t="s">
        <v>1582</v>
      </c>
      <c r="C432" s="524" t="s">
        <v>156</v>
      </c>
      <c r="D432" s="144">
        <v>0</v>
      </c>
      <c r="E432" s="144">
        <v>0</v>
      </c>
      <c r="F432" s="144">
        <v>0</v>
      </c>
      <c r="G432" s="144">
        <v>0</v>
      </c>
      <c r="H432" s="150">
        <v>0</v>
      </c>
      <c r="I432" s="567">
        <f t="shared" si="11"/>
        <v>0</v>
      </c>
    </row>
    <row r="433" spans="1:9" x14ac:dyDescent="0.15">
      <c r="A433" s="138"/>
      <c r="B433" s="523" t="s">
        <v>847</v>
      </c>
      <c r="C433" s="524" t="s">
        <v>157</v>
      </c>
      <c r="D433" s="144">
        <v>0</v>
      </c>
      <c r="E433" s="144">
        <v>0</v>
      </c>
      <c r="F433" s="144">
        <v>0</v>
      </c>
      <c r="G433" s="144">
        <v>0</v>
      </c>
      <c r="H433" s="150">
        <v>0</v>
      </c>
      <c r="I433" s="567">
        <f t="shared" si="11"/>
        <v>0</v>
      </c>
    </row>
    <row r="434" spans="1:9" x14ac:dyDescent="0.15">
      <c r="A434" s="138"/>
      <c r="B434" s="523" t="s">
        <v>1583</v>
      </c>
      <c r="C434" s="524" t="s">
        <v>160</v>
      </c>
      <c r="D434" s="144">
        <v>0</v>
      </c>
      <c r="E434" s="144">
        <v>0</v>
      </c>
      <c r="F434" s="144">
        <v>0</v>
      </c>
      <c r="G434" s="144">
        <v>0</v>
      </c>
      <c r="H434" s="150">
        <v>0</v>
      </c>
      <c r="I434" s="567">
        <f t="shared" si="11"/>
        <v>0</v>
      </c>
    </row>
    <row r="435" spans="1:9" x14ac:dyDescent="0.15">
      <c r="A435" s="138"/>
      <c r="B435" s="523" t="s">
        <v>634</v>
      </c>
      <c r="C435" s="524" t="s">
        <v>165</v>
      </c>
      <c r="D435" s="144">
        <v>0</v>
      </c>
      <c r="E435" s="144">
        <v>0</v>
      </c>
      <c r="F435" s="144">
        <v>0</v>
      </c>
      <c r="G435" s="144">
        <v>0</v>
      </c>
      <c r="H435" s="150">
        <v>0</v>
      </c>
      <c r="I435" s="567">
        <f t="shared" si="11"/>
        <v>0</v>
      </c>
    </row>
    <row r="436" spans="1:9" x14ac:dyDescent="0.15">
      <c r="A436" s="138"/>
      <c r="B436" s="523" t="s">
        <v>630</v>
      </c>
      <c r="C436" s="524" t="s">
        <v>172</v>
      </c>
      <c r="D436" s="144">
        <v>0</v>
      </c>
      <c r="E436" s="144">
        <v>0</v>
      </c>
      <c r="F436" s="144">
        <v>0</v>
      </c>
      <c r="G436" s="144">
        <v>0</v>
      </c>
      <c r="H436" s="150">
        <v>0</v>
      </c>
      <c r="I436" s="567">
        <f t="shared" si="11"/>
        <v>0</v>
      </c>
    </row>
    <row r="437" spans="1:9" x14ac:dyDescent="0.15">
      <c r="A437" s="138"/>
      <c r="B437" s="650" t="s">
        <v>631</v>
      </c>
      <c r="C437" s="651" t="s">
        <v>173</v>
      </c>
      <c r="D437" s="144">
        <v>0</v>
      </c>
      <c r="E437" s="144">
        <v>0</v>
      </c>
      <c r="F437" s="144">
        <v>0</v>
      </c>
      <c r="G437" s="144">
        <v>0</v>
      </c>
      <c r="H437" s="150">
        <v>0</v>
      </c>
      <c r="I437" s="567">
        <f t="shared" si="11"/>
        <v>0</v>
      </c>
    </row>
    <row r="438" spans="1:9" x14ac:dyDescent="0.15">
      <c r="A438" s="138"/>
      <c r="B438" s="523" t="s">
        <v>1584</v>
      </c>
      <c r="C438" s="524" t="s">
        <v>178</v>
      </c>
      <c r="D438" s="144">
        <v>0</v>
      </c>
      <c r="E438" s="144">
        <v>0</v>
      </c>
      <c r="F438" s="144">
        <v>0</v>
      </c>
      <c r="G438" s="144">
        <v>0</v>
      </c>
      <c r="H438" s="150">
        <v>0</v>
      </c>
      <c r="I438" s="567">
        <f t="shared" si="11"/>
        <v>0</v>
      </c>
    </row>
    <row r="439" spans="1:9" x14ac:dyDescent="0.15">
      <c r="A439" s="138"/>
      <c r="B439" s="523" t="s">
        <v>174</v>
      </c>
      <c r="C439" s="524" t="s">
        <v>179</v>
      </c>
      <c r="D439" s="144">
        <v>0</v>
      </c>
      <c r="E439" s="144">
        <v>0</v>
      </c>
      <c r="F439" s="144">
        <v>0</v>
      </c>
      <c r="G439" s="144">
        <v>0</v>
      </c>
      <c r="H439" s="150">
        <v>0</v>
      </c>
      <c r="I439" s="567">
        <f t="shared" si="11"/>
        <v>0</v>
      </c>
    </row>
    <row r="440" spans="1:9" x14ac:dyDescent="0.15">
      <c r="A440" s="138"/>
      <c r="B440" s="523" t="s">
        <v>175</v>
      </c>
      <c r="C440" s="524" t="s">
        <v>180</v>
      </c>
      <c r="D440" s="144">
        <v>0</v>
      </c>
      <c r="E440" s="144">
        <v>0</v>
      </c>
      <c r="F440" s="144">
        <v>0</v>
      </c>
      <c r="G440" s="144">
        <v>0</v>
      </c>
      <c r="H440" s="150">
        <v>0</v>
      </c>
      <c r="I440" s="567">
        <f t="shared" si="11"/>
        <v>0</v>
      </c>
    </row>
    <row r="441" spans="1:9" ht="11.25" thickBot="1" x14ac:dyDescent="0.2">
      <c r="A441" s="138"/>
      <c r="B441" s="523" t="s">
        <v>176</v>
      </c>
      <c r="C441" s="524" t="s">
        <v>181</v>
      </c>
      <c r="D441" s="144">
        <v>0</v>
      </c>
      <c r="E441" s="144">
        <v>0</v>
      </c>
      <c r="F441" s="144">
        <v>0</v>
      </c>
      <c r="G441" s="144">
        <v>0</v>
      </c>
      <c r="H441" s="150">
        <v>0</v>
      </c>
      <c r="I441" s="567">
        <f t="shared" si="11"/>
        <v>0</v>
      </c>
    </row>
    <row r="442" spans="1:9" ht="12" thickTop="1" thickBot="1" x14ac:dyDescent="0.2">
      <c r="A442" s="138"/>
      <c r="B442" s="523"/>
      <c r="C442" s="524" t="s">
        <v>241</v>
      </c>
      <c r="D442" s="169">
        <f>SUM(D408:D441)</f>
        <v>0</v>
      </c>
      <c r="E442" s="169">
        <f>SUM(E408:E441)</f>
        <v>0</v>
      </c>
      <c r="F442" s="169">
        <f>SUM(F408:F441)</f>
        <v>0</v>
      </c>
      <c r="G442" s="169">
        <f>SUM(G408:G441)</f>
        <v>0</v>
      </c>
      <c r="H442" s="169">
        <f>SUM(H408:H441)</f>
        <v>0</v>
      </c>
      <c r="I442" s="169">
        <f t="shared" si="11"/>
        <v>0</v>
      </c>
    </row>
    <row r="443" spans="1:9" ht="11.25" thickTop="1" x14ac:dyDescent="0.15">
      <c r="A443" s="138"/>
      <c r="B443" s="524"/>
      <c r="C443" s="524"/>
      <c r="D443" s="14"/>
      <c r="E443" s="14"/>
      <c r="F443" s="14"/>
      <c r="G443" s="14"/>
      <c r="H443" s="14"/>
      <c r="I443" s="563"/>
    </row>
    <row r="444" spans="1:9" x14ac:dyDescent="0.15">
      <c r="A444" s="522" t="s">
        <v>242</v>
      </c>
      <c r="B444" s="524"/>
      <c r="C444" s="524"/>
      <c r="D444" s="14"/>
      <c r="E444" s="14"/>
      <c r="F444" s="14"/>
      <c r="G444" s="14"/>
      <c r="H444" s="14"/>
      <c r="I444" s="563"/>
    </row>
    <row r="445" spans="1:9" x14ac:dyDescent="0.15">
      <c r="A445" s="434"/>
      <c r="B445" s="523" t="s">
        <v>1577</v>
      </c>
      <c r="C445" s="524" t="s">
        <v>228</v>
      </c>
      <c r="D445" s="316">
        <v>0</v>
      </c>
      <c r="E445" s="316">
        <v>0</v>
      </c>
      <c r="F445" s="316">
        <v>0</v>
      </c>
      <c r="G445" s="528">
        <f t="array" ref="G445">SUM(IF(CertFund&amp;CertProg&amp;CertObj=RIGHT(LEFT($A$2,7),2)&amp;LEFT(A444,4)&amp;B445,CertSalary))</f>
        <v>0</v>
      </c>
      <c r="H445" s="527">
        <v>0</v>
      </c>
      <c r="I445" s="566">
        <f>SUM(G445+H445)</f>
        <v>0</v>
      </c>
    </row>
    <row r="446" spans="1:9" x14ac:dyDescent="0.15">
      <c r="A446" s="434"/>
      <c r="B446" s="523" t="s">
        <v>1577</v>
      </c>
      <c r="C446" s="524" t="s">
        <v>510</v>
      </c>
      <c r="D446" s="316">
        <v>0</v>
      </c>
      <c r="E446" s="316">
        <v>0</v>
      </c>
      <c r="F446" s="316">
        <v>0</v>
      </c>
      <c r="G446" s="316">
        <v>0</v>
      </c>
      <c r="H446" s="527">
        <v>0</v>
      </c>
      <c r="I446" s="566">
        <f>SUM(G446+H446)</f>
        <v>0</v>
      </c>
    </row>
    <row r="447" spans="1:9" x14ac:dyDescent="0.15">
      <c r="A447" s="524"/>
      <c r="B447" s="523" t="s">
        <v>1578</v>
      </c>
      <c r="C447" s="524" t="s">
        <v>936</v>
      </c>
      <c r="D447" s="316">
        <v>0</v>
      </c>
      <c r="E447" s="316">
        <v>0</v>
      </c>
      <c r="F447" s="316">
        <v>0</v>
      </c>
      <c r="G447" s="529">
        <f t="array" ref="G447">SUM(IF(CertFund&amp;CertProg&amp;CertObj=RIGHT(LEFT($A$2,7),2)&amp;LEFT(A444,4)&amp;B445,CertBen))</f>
        <v>0</v>
      </c>
      <c r="H447" s="527">
        <v>0</v>
      </c>
      <c r="I447" s="566">
        <f>SUM(G447+H447)</f>
        <v>0</v>
      </c>
    </row>
    <row r="448" spans="1:9" x14ac:dyDescent="0.15">
      <c r="A448" s="138"/>
      <c r="B448" s="521" t="s">
        <v>1578</v>
      </c>
      <c r="C448" s="138" t="s">
        <v>511</v>
      </c>
      <c r="D448" s="147">
        <v>0</v>
      </c>
      <c r="E448" s="147">
        <v>0</v>
      </c>
      <c r="F448" s="147">
        <v>0</v>
      </c>
      <c r="G448" s="147">
        <v>0</v>
      </c>
      <c r="H448" s="150">
        <v>0</v>
      </c>
      <c r="I448" s="567">
        <f>SUM(G448+H448)</f>
        <v>0</v>
      </c>
    </row>
    <row r="449" spans="1:9" x14ac:dyDescent="0.15">
      <c r="A449" s="138"/>
      <c r="B449" s="523" t="s">
        <v>1579</v>
      </c>
      <c r="C449" s="524" t="s">
        <v>118</v>
      </c>
      <c r="D449" s="144">
        <v>0</v>
      </c>
      <c r="E449" s="144">
        <v>0</v>
      </c>
      <c r="F449" s="144">
        <v>0</v>
      </c>
      <c r="G449" s="291">
        <v>0</v>
      </c>
      <c r="H449" s="150">
        <v>0</v>
      </c>
      <c r="I449" s="567">
        <f t="shared" ref="I449:I479" si="12">SUM(G449+H449)</f>
        <v>0</v>
      </c>
    </row>
    <row r="450" spans="1:9" x14ac:dyDescent="0.15">
      <c r="A450" s="138"/>
      <c r="B450" s="523" t="s">
        <v>1580</v>
      </c>
      <c r="C450" s="524" t="s">
        <v>119</v>
      </c>
      <c r="D450" s="144">
        <v>0</v>
      </c>
      <c r="E450" s="144">
        <v>0</v>
      </c>
      <c r="F450" s="144">
        <v>0</v>
      </c>
      <c r="G450" s="291">
        <v>0</v>
      </c>
      <c r="H450" s="150">
        <v>0</v>
      </c>
      <c r="I450" s="567">
        <f t="shared" si="12"/>
        <v>0</v>
      </c>
    </row>
    <row r="451" spans="1:9" x14ac:dyDescent="0.15">
      <c r="A451" s="138"/>
      <c r="B451" s="523" t="s">
        <v>120</v>
      </c>
      <c r="C451" s="524" t="s">
        <v>121</v>
      </c>
      <c r="D451" s="144">
        <v>0</v>
      </c>
      <c r="E451" s="144">
        <v>0</v>
      </c>
      <c r="F451" s="144">
        <v>0</v>
      </c>
      <c r="G451" s="291">
        <v>0</v>
      </c>
      <c r="H451" s="150">
        <v>0</v>
      </c>
      <c r="I451" s="567">
        <f t="shared" si="12"/>
        <v>0</v>
      </c>
    </row>
    <row r="452" spans="1:9" x14ac:dyDescent="0.15">
      <c r="A452" s="138"/>
      <c r="B452" s="523" t="s">
        <v>122</v>
      </c>
      <c r="C452" s="524" t="s">
        <v>123</v>
      </c>
      <c r="D452" s="144">
        <v>0</v>
      </c>
      <c r="E452" s="144">
        <v>0</v>
      </c>
      <c r="F452" s="144">
        <v>0</v>
      </c>
      <c r="G452" s="291">
        <v>0</v>
      </c>
      <c r="H452" s="150">
        <v>0</v>
      </c>
      <c r="I452" s="567">
        <f t="shared" si="12"/>
        <v>0</v>
      </c>
    </row>
    <row r="453" spans="1:9" x14ac:dyDescent="0.15">
      <c r="A453" s="138"/>
      <c r="B453" s="523" t="s">
        <v>1581</v>
      </c>
      <c r="C453" s="524" t="s">
        <v>124</v>
      </c>
      <c r="D453" s="144">
        <v>0</v>
      </c>
      <c r="E453" s="144">
        <v>0</v>
      </c>
      <c r="F453" s="144">
        <v>0</v>
      </c>
      <c r="G453" s="291">
        <v>0</v>
      </c>
      <c r="H453" s="150">
        <v>0</v>
      </c>
      <c r="I453" s="567">
        <f t="shared" si="12"/>
        <v>0</v>
      </c>
    </row>
    <row r="454" spans="1:9" x14ac:dyDescent="0.15">
      <c r="A454" s="138"/>
      <c r="B454" s="523" t="s">
        <v>127</v>
      </c>
      <c r="C454" s="524" t="s">
        <v>134</v>
      </c>
      <c r="D454" s="144">
        <v>0</v>
      </c>
      <c r="E454" s="144">
        <v>0</v>
      </c>
      <c r="F454" s="144">
        <v>0</v>
      </c>
      <c r="G454" s="291">
        <v>0</v>
      </c>
      <c r="H454" s="150">
        <v>0</v>
      </c>
      <c r="I454" s="567">
        <f t="shared" si="12"/>
        <v>0</v>
      </c>
    </row>
    <row r="455" spans="1:9" x14ac:dyDescent="0.15">
      <c r="A455" s="138"/>
      <c r="B455" s="523" t="s">
        <v>128</v>
      </c>
      <c r="C455" s="524" t="s">
        <v>135</v>
      </c>
      <c r="D455" s="144">
        <v>0</v>
      </c>
      <c r="E455" s="144">
        <v>0</v>
      </c>
      <c r="F455" s="144">
        <v>0</v>
      </c>
      <c r="G455" s="291">
        <v>0</v>
      </c>
      <c r="H455" s="150">
        <v>0</v>
      </c>
      <c r="I455" s="567">
        <f t="shared" si="12"/>
        <v>0</v>
      </c>
    </row>
    <row r="456" spans="1:9" x14ac:dyDescent="0.15">
      <c r="A456" s="138"/>
      <c r="B456" s="523" t="s">
        <v>132</v>
      </c>
      <c r="C456" s="524" t="s">
        <v>1617</v>
      </c>
      <c r="D456" s="144">
        <v>0</v>
      </c>
      <c r="E456" s="144">
        <v>0</v>
      </c>
      <c r="F456" s="144">
        <v>0</v>
      </c>
      <c r="G456" s="291">
        <v>0</v>
      </c>
      <c r="H456" s="150">
        <v>0</v>
      </c>
      <c r="I456" s="567">
        <f t="shared" si="12"/>
        <v>0</v>
      </c>
    </row>
    <row r="457" spans="1:9" x14ac:dyDescent="0.15">
      <c r="A457" s="138"/>
      <c r="B457" s="523" t="s">
        <v>1618</v>
      </c>
      <c r="C457" s="524" t="s">
        <v>836</v>
      </c>
      <c r="D457" s="144">
        <v>0</v>
      </c>
      <c r="E457" s="144">
        <v>0</v>
      </c>
      <c r="F457" s="144">
        <v>0</v>
      </c>
      <c r="G457" s="291">
        <v>0</v>
      </c>
      <c r="H457" s="150">
        <v>0</v>
      </c>
      <c r="I457" s="567">
        <f t="shared" si="12"/>
        <v>0</v>
      </c>
    </row>
    <row r="458" spans="1:9" x14ac:dyDescent="0.15">
      <c r="A458" s="138"/>
      <c r="B458" s="523" t="s">
        <v>1619</v>
      </c>
      <c r="C458" s="524" t="s">
        <v>837</v>
      </c>
      <c r="D458" s="144">
        <v>0</v>
      </c>
      <c r="E458" s="144">
        <v>0</v>
      </c>
      <c r="F458" s="144">
        <v>0</v>
      </c>
      <c r="G458" s="291">
        <v>0</v>
      </c>
      <c r="H458" s="150">
        <v>0</v>
      </c>
      <c r="I458" s="567">
        <f t="shared" si="12"/>
        <v>0</v>
      </c>
    </row>
    <row r="459" spans="1:9" x14ac:dyDescent="0.15">
      <c r="A459" s="138"/>
      <c r="B459" s="523" t="s">
        <v>1620</v>
      </c>
      <c r="C459" s="524" t="s">
        <v>838</v>
      </c>
      <c r="D459" s="144">
        <v>0</v>
      </c>
      <c r="E459" s="144">
        <v>0</v>
      </c>
      <c r="F459" s="144">
        <v>0</v>
      </c>
      <c r="G459" s="291">
        <v>0</v>
      </c>
      <c r="H459" s="150">
        <v>0</v>
      </c>
      <c r="I459" s="567">
        <f t="shared" si="12"/>
        <v>0</v>
      </c>
    </row>
    <row r="460" spans="1:9" x14ac:dyDescent="0.15">
      <c r="A460" s="138"/>
      <c r="B460" s="523" t="s">
        <v>1621</v>
      </c>
      <c r="C460" s="524" t="s">
        <v>839</v>
      </c>
      <c r="D460" s="144">
        <v>0</v>
      </c>
      <c r="E460" s="144">
        <v>0</v>
      </c>
      <c r="F460" s="144">
        <v>0</v>
      </c>
      <c r="G460" s="291">
        <v>0</v>
      </c>
      <c r="H460" s="150">
        <v>0</v>
      </c>
      <c r="I460" s="567">
        <f t="shared" si="12"/>
        <v>0</v>
      </c>
    </row>
    <row r="461" spans="1:9" x14ac:dyDescent="0.15">
      <c r="A461" s="138"/>
      <c r="B461" s="523" t="s">
        <v>1622</v>
      </c>
      <c r="C461" s="524" t="s">
        <v>190</v>
      </c>
      <c r="D461" s="144">
        <v>0</v>
      </c>
      <c r="E461" s="144">
        <v>0</v>
      </c>
      <c r="F461" s="144">
        <v>0</v>
      </c>
      <c r="G461" s="291">
        <v>0</v>
      </c>
      <c r="H461" s="150">
        <v>0</v>
      </c>
      <c r="I461" s="567">
        <f t="shared" si="12"/>
        <v>0</v>
      </c>
    </row>
    <row r="462" spans="1:9" x14ac:dyDescent="0.15">
      <c r="A462" s="138"/>
      <c r="B462" s="523" t="s">
        <v>1623</v>
      </c>
      <c r="C462" s="524" t="s">
        <v>191</v>
      </c>
      <c r="D462" s="144">
        <v>0</v>
      </c>
      <c r="E462" s="144">
        <v>0</v>
      </c>
      <c r="F462" s="144">
        <v>0</v>
      </c>
      <c r="G462" s="291">
        <v>0</v>
      </c>
      <c r="H462" s="150">
        <v>0</v>
      </c>
      <c r="I462" s="567">
        <f t="shared" si="12"/>
        <v>0</v>
      </c>
    </row>
    <row r="463" spans="1:9" x14ac:dyDescent="0.15">
      <c r="A463" s="138"/>
      <c r="B463" s="523" t="s">
        <v>1624</v>
      </c>
      <c r="C463" s="524" t="s">
        <v>840</v>
      </c>
      <c r="D463" s="144">
        <v>0</v>
      </c>
      <c r="E463" s="144">
        <v>0</v>
      </c>
      <c r="F463" s="144">
        <v>0</v>
      </c>
      <c r="G463" s="291">
        <v>0</v>
      </c>
      <c r="H463" s="150">
        <v>0</v>
      </c>
      <c r="I463" s="567">
        <f t="shared" si="12"/>
        <v>0</v>
      </c>
    </row>
    <row r="464" spans="1:9" x14ac:dyDescent="0.15">
      <c r="A464" s="138"/>
      <c r="B464" s="523" t="s">
        <v>1625</v>
      </c>
      <c r="C464" s="524" t="s">
        <v>842</v>
      </c>
      <c r="D464" s="144">
        <v>0</v>
      </c>
      <c r="E464" s="144">
        <v>0</v>
      </c>
      <c r="F464" s="144">
        <v>0</v>
      </c>
      <c r="G464" s="291">
        <v>0</v>
      </c>
      <c r="H464" s="150">
        <v>0</v>
      </c>
      <c r="I464" s="567">
        <f t="shared" si="12"/>
        <v>0</v>
      </c>
    </row>
    <row r="465" spans="1:9" x14ac:dyDescent="0.15">
      <c r="A465" s="138"/>
      <c r="B465" s="523" t="s">
        <v>843</v>
      </c>
      <c r="C465" s="524" t="s">
        <v>848</v>
      </c>
      <c r="D465" s="144">
        <v>0</v>
      </c>
      <c r="E465" s="144">
        <v>0</v>
      </c>
      <c r="F465" s="144">
        <v>0</v>
      </c>
      <c r="G465" s="291">
        <v>0</v>
      </c>
      <c r="H465" s="150">
        <v>0</v>
      </c>
      <c r="I465" s="567">
        <f t="shared" si="12"/>
        <v>0</v>
      </c>
    </row>
    <row r="466" spans="1:9" x14ac:dyDescent="0.15">
      <c r="A466" s="138"/>
      <c r="B466" s="523" t="s">
        <v>844</v>
      </c>
      <c r="C466" s="524" t="s">
        <v>153</v>
      </c>
      <c r="D466" s="144">
        <v>0</v>
      </c>
      <c r="E466" s="144">
        <v>0</v>
      </c>
      <c r="F466" s="144">
        <v>0</v>
      </c>
      <c r="G466" s="291">
        <v>0</v>
      </c>
      <c r="H466" s="150">
        <v>0</v>
      </c>
      <c r="I466" s="567">
        <f t="shared" si="12"/>
        <v>0</v>
      </c>
    </row>
    <row r="467" spans="1:9" x14ac:dyDescent="0.15">
      <c r="A467" s="138"/>
      <c r="B467" s="523" t="s">
        <v>845</v>
      </c>
      <c r="C467" s="524" t="s">
        <v>154</v>
      </c>
      <c r="D467" s="144">
        <v>0</v>
      </c>
      <c r="E467" s="144">
        <v>0</v>
      </c>
      <c r="F467" s="144">
        <v>0</v>
      </c>
      <c r="G467" s="291">
        <v>0</v>
      </c>
      <c r="H467" s="150">
        <v>0</v>
      </c>
      <c r="I467" s="567">
        <f t="shared" si="12"/>
        <v>0</v>
      </c>
    </row>
    <row r="468" spans="1:9" x14ac:dyDescent="0.15">
      <c r="A468" s="138"/>
      <c r="B468" s="523" t="s">
        <v>846</v>
      </c>
      <c r="C468" s="524" t="s">
        <v>155</v>
      </c>
      <c r="D468" s="144">
        <v>0</v>
      </c>
      <c r="E468" s="144">
        <v>0</v>
      </c>
      <c r="F468" s="144">
        <v>0</v>
      </c>
      <c r="G468" s="291">
        <v>0</v>
      </c>
      <c r="H468" s="150">
        <v>0</v>
      </c>
      <c r="I468" s="567">
        <f t="shared" si="12"/>
        <v>0</v>
      </c>
    </row>
    <row r="469" spans="1:9" x14ac:dyDescent="0.15">
      <c r="A469" s="138"/>
      <c r="B469" s="523" t="s">
        <v>1582</v>
      </c>
      <c r="C469" s="524" t="s">
        <v>156</v>
      </c>
      <c r="D469" s="144">
        <v>0</v>
      </c>
      <c r="E469" s="144">
        <v>0</v>
      </c>
      <c r="F469" s="144">
        <v>0</v>
      </c>
      <c r="G469" s="291">
        <v>0</v>
      </c>
      <c r="H469" s="150">
        <v>0</v>
      </c>
      <c r="I469" s="567">
        <f t="shared" si="12"/>
        <v>0</v>
      </c>
    </row>
    <row r="470" spans="1:9" x14ac:dyDescent="0.15">
      <c r="A470" s="138"/>
      <c r="B470" s="523" t="s">
        <v>847</v>
      </c>
      <c r="C470" s="524" t="s">
        <v>157</v>
      </c>
      <c r="D470" s="144">
        <v>0</v>
      </c>
      <c r="E470" s="144">
        <v>0</v>
      </c>
      <c r="F470" s="144">
        <v>0</v>
      </c>
      <c r="G470" s="291">
        <v>0</v>
      </c>
      <c r="H470" s="150">
        <v>0</v>
      </c>
      <c r="I470" s="567">
        <f t="shared" si="12"/>
        <v>0</v>
      </c>
    </row>
    <row r="471" spans="1:9" x14ac:dyDescent="0.15">
      <c r="A471" s="138"/>
      <c r="B471" s="523" t="s">
        <v>1583</v>
      </c>
      <c r="C471" s="524" t="s">
        <v>160</v>
      </c>
      <c r="D471" s="144">
        <v>0</v>
      </c>
      <c r="E471" s="144">
        <v>0</v>
      </c>
      <c r="F471" s="144">
        <v>0</v>
      </c>
      <c r="G471" s="291">
        <v>0</v>
      </c>
      <c r="H471" s="150">
        <v>0</v>
      </c>
      <c r="I471" s="567">
        <f t="shared" si="12"/>
        <v>0</v>
      </c>
    </row>
    <row r="472" spans="1:9" x14ac:dyDescent="0.15">
      <c r="A472" s="138"/>
      <c r="B472" s="523" t="s">
        <v>634</v>
      </c>
      <c r="C472" s="524" t="s">
        <v>165</v>
      </c>
      <c r="D472" s="144">
        <v>0</v>
      </c>
      <c r="E472" s="144">
        <v>0</v>
      </c>
      <c r="F472" s="144">
        <v>0</v>
      </c>
      <c r="G472" s="291">
        <v>0</v>
      </c>
      <c r="H472" s="150">
        <v>0</v>
      </c>
      <c r="I472" s="567">
        <f t="shared" si="12"/>
        <v>0</v>
      </c>
    </row>
    <row r="473" spans="1:9" x14ac:dyDescent="0.15">
      <c r="A473" s="138"/>
      <c r="B473" s="523" t="s">
        <v>630</v>
      </c>
      <c r="C473" s="524" t="s">
        <v>172</v>
      </c>
      <c r="D473" s="144">
        <v>0</v>
      </c>
      <c r="E473" s="144">
        <v>0</v>
      </c>
      <c r="F473" s="144">
        <v>0</v>
      </c>
      <c r="G473" s="291">
        <v>0</v>
      </c>
      <c r="H473" s="150">
        <v>0</v>
      </c>
      <c r="I473" s="567">
        <f t="shared" si="12"/>
        <v>0</v>
      </c>
    </row>
    <row r="474" spans="1:9" x14ac:dyDescent="0.15">
      <c r="A474" s="138"/>
      <c r="B474" s="650" t="s">
        <v>631</v>
      </c>
      <c r="C474" s="651" t="s">
        <v>173</v>
      </c>
      <c r="D474" s="144">
        <v>0</v>
      </c>
      <c r="E474" s="144">
        <v>0</v>
      </c>
      <c r="F474" s="144">
        <v>0</v>
      </c>
      <c r="G474" s="291">
        <v>0</v>
      </c>
      <c r="H474" s="150">
        <v>0</v>
      </c>
      <c r="I474" s="567">
        <f t="shared" si="12"/>
        <v>0</v>
      </c>
    </row>
    <row r="475" spans="1:9" x14ac:dyDescent="0.15">
      <c r="A475" s="138"/>
      <c r="B475" s="523" t="s">
        <v>1584</v>
      </c>
      <c r="C475" s="524" t="s">
        <v>178</v>
      </c>
      <c r="D475" s="144">
        <v>0</v>
      </c>
      <c r="E475" s="144">
        <v>0</v>
      </c>
      <c r="F475" s="144">
        <v>0</v>
      </c>
      <c r="G475" s="291">
        <v>0</v>
      </c>
      <c r="H475" s="150">
        <v>0</v>
      </c>
      <c r="I475" s="567">
        <f t="shared" si="12"/>
        <v>0</v>
      </c>
    </row>
    <row r="476" spans="1:9" x14ac:dyDescent="0.15">
      <c r="A476" s="138"/>
      <c r="B476" s="523" t="s">
        <v>174</v>
      </c>
      <c r="C476" s="524" t="s">
        <v>179</v>
      </c>
      <c r="D476" s="144">
        <v>0</v>
      </c>
      <c r="E476" s="144">
        <v>0</v>
      </c>
      <c r="F476" s="144">
        <v>0</v>
      </c>
      <c r="G476" s="291">
        <v>0</v>
      </c>
      <c r="H476" s="150">
        <v>0</v>
      </c>
      <c r="I476" s="567">
        <f t="shared" si="12"/>
        <v>0</v>
      </c>
    </row>
    <row r="477" spans="1:9" x14ac:dyDescent="0.15">
      <c r="A477" s="138"/>
      <c r="B477" s="523" t="s">
        <v>175</v>
      </c>
      <c r="C477" s="524" t="s">
        <v>180</v>
      </c>
      <c r="D477" s="144">
        <v>0</v>
      </c>
      <c r="E477" s="144">
        <v>0</v>
      </c>
      <c r="F477" s="144">
        <v>0</v>
      </c>
      <c r="G477" s="291">
        <v>0</v>
      </c>
      <c r="H477" s="150">
        <v>0</v>
      </c>
      <c r="I477" s="567">
        <f t="shared" si="12"/>
        <v>0</v>
      </c>
    </row>
    <row r="478" spans="1:9" ht="11.25" thickBot="1" x14ac:dyDescent="0.2">
      <c r="A478" s="138"/>
      <c r="B478" s="523" t="s">
        <v>176</v>
      </c>
      <c r="C478" s="524" t="s">
        <v>181</v>
      </c>
      <c r="D478" s="144">
        <v>0</v>
      </c>
      <c r="E478" s="144">
        <v>0</v>
      </c>
      <c r="F478" s="144">
        <v>0</v>
      </c>
      <c r="G478" s="291">
        <v>0</v>
      </c>
      <c r="H478" s="150">
        <v>0</v>
      </c>
      <c r="I478" s="567">
        <f t="shared" si="12"/>
        <v>0</v>
      </c>
    </row>
    <row r="479" spans="1:9" ht="12" thickTop="1" thickBot="1" x14ac:dyDescent="0.2">
      <c r="A479" s="138"/>
      <c r="B479" s="523"/>
      <c r="C479" s="524" t="s">
        <v>243</v>
      </c>
      <c r="D479" s="169">
        <f>SUM(D445:D478)</f>
        <v>0</v>
      </c>
      <c r="E479" s="169">
        <f>SUM(E445:E478)</f>
        <v>0</v>
      </c>
      <c r="F479" s="169">
        <f>SUM(F445:F478)</f>
        <v>0</v>
      </c>
      <c r="G479" s="169">
        <f>SUM(G445:G478)</f>
        <v>0</v>
      </c>
      <c r="H479" s="169">
        <f>SUM(H445:H478)</f>
        <v>0</v>
      </c>
      <c r="I479" s="169">
        <f t="shared" si="12"/>
        <v>0</v>
      </c>
    </row>
    <row r="480" spans="1:9" ht="11.25" thickTop="1" x14ac:dyDescent="0.15">
      <c r="A480" s="138"/>
      <c r="B480" s="524"/>
      <c r="C480" s="524"/>
      <c r="D480" s="14"/>
      <c r="E480" s="14"/>
      <c r="F480" s="14"/>
      <c r="G480" s="14"/>
      <c r="H480" s="14"/>
      <c r="I480" s="563"/>
    </row>
    <row r="481" spans="1:9" x14ac:dyDescent="0.15">
      <c r="A481" s="522" t="s">
        <v>244</v>
      </c>
      <c r="B481" s="524"/>
      <c r="C481" s="524"/>
      <c r="D481" s="14"/>
      <c r="E481" s="14"/>
      <c r="F481" s="14"/>
      <c r="G481" s="14"/>
      <c r="H481" s="14"/>
      <c r="I481" s="563"/>
    </row>
    <row r="482" spans="1:9" x14ac:dyDescent="0.15">
      <c r="A482" s="434"/>
      <c r="B482" s="523" t="s">
        <v>1577</v>
      </c>
      <c r="C482" s="524" t="s">
        <v>228</v>
      </c>
      <c r="D482" s="316">
        <v>0</v>
      </c>
      <c r="E482" s="316">
        <v>0</v>
      </c>
      <c r="F482" s="316">
        <v>0</v>
      </c>
      <c r="G482" s="528">
        <f t="array" ref="G482">SUM(IF(CertFund&amp;CertProg&amp;CertObj=RIGHT(LEFT($A$2,7),2)&amp;LEFT(A481,4)&amp;B482,CertSalary))</f>
        <v>0</v>
      </c>
      <c r="H482" s="527">
        <v>0</v>
      </c>
      <c r="I482" s="566">
        <f>SUM(G482+H482)</f>
        <v>0</v>
      </c>
    </row>
    <row r="483" spans="1:9" x14ac:dyDescent="0.15">
      <c r="A483" s="434"/>
      <c r="B483" s="523" t="s">
        <v>1577</v>
      </c>
      <c r="C483" s="524" t="s">
        <v>510</v>
      </c>
      <c r="D483" s="316">
        <v>0</v>
      </c>
      <c r="E483" s="316">
        <v>0</v>
      </c>
      <c r="F483" s="316">
        <v>0</v>
      </c>
      <c r="G483" s="316">
        <v>0</v>
      </c>
      <c r="H483" s="527">
        <v>0</v>
      </c>
      <c r="I483" s="566">
        <f>SUM(G483+H483)</f>
        <v>0</v>
      </c>
    </row>
    <row r="484" spans="1:9" x14ac:dyDescent="0.15">
      <c r="A484" s="524"/>
      <c r="B484" s="523" t="s">
        <v>1578</v>
      </c>
      <c r="C484" s="524" t="s">
        <v>936</v>
      </c>
      <c r="D484" s="316">
        <v>0</v>
      </c>
      <c r="E484" s="316">
        <v>0</v>
      </c>
      <c r="F484" s="316">
        <v>0</v>
      </c>
      <c r="G484" s="529">
        <f t="array" ref="G484">SUM(IF(CertFund&amp;CertProg&amp;CertObj=RIGHT(LEFT($A$2,7),2)&amp;LEFT(A481,4)&amp;B482,CertBen))</f>
        <v>0</v>
      </c>
      <c r="H484" s="527">
        <v>0</v>
      </c>
      <c r="I484" s="566">
        <f>SUM(G484+H484)</f>
        <v>0</v>
      </c>
    </row>
    <row r="485" spans="1:9" x14ac:dyDescent="0.15">
      <c r="A485" s="138"/>
      <c r="B485" s="521" t="s">
        <v>1578</v>
      </c>
      <c r="C485" s="138" t="s">
        <v>511</v>
      </c>
      <c r="D485" s="147">
        <v>0</v>
      </c>
      <c r="E485" s="147">
        <v>0</v>
      </c>
      <c r="F485" s="147">
        <v>0</v>
      </c>
      <c r="G485" s="147">
        <v>0</v>
      </c>
      <c r="H485" s="150">
        <v>0</v>
      </c>
      <c r="I485" s="567">
        <f>SUM(G485+H485)</f>
        <v>0</v>
      </c>
    </row>
    <row r="486" spans="1:9" x14ac:dyDescent="0.15">
      <c r="A486" s="138"/>
      <c r="B486" s="523" t="s">
        <v>1579</v>
      </c>
      <c r="C486" s="524" t="s">
        <v>118</v>
      </c>
      <c r="D486" s="144">
        <v>0</v>
      </c>
      <c r="E486" s="144">
        <v>0</v>
      </c>
      <c r="F486" s="144">
        <v>0</v>
      </c>
      <c r="G486" s="291">
        <v>0</v>
      </c>
      <c r="H486" s="150">
        <v>0</v>
      </c>
      <c r="I486" s="567">
        <f t="shared" ref="I486:I516" si="13">SUM(G486+H486)</f>
        <v>0</v>
      </c>
    </row>
    <row r="487" spans="1:9" x14ac:dyDescent="0.15">
      <c r="A487" s="138"/>
      <c r="B487" s="523" t="s">
        <v>1580</v>
      </c>
      <c r="C487" s="524" t="s">
        <v>119</v>
      </c>
      <c r="D487" s="144">
        <v>0</v>
      </c>
      <c r="E487" s="144">
        <v>0</v>
      </c>
      <c r="F487" s="144">
        <v>0</v>
      </c>
      <c r="G487" s="291">
        <v>0</v>
      </c>
      <c r="H487" s="150">
        <v>0</v>
      </c>
      <c r="I487" s="567">
        <f t="shared" si="13"/>
        <v>0</v>
      </c>
    </row>
    <row r="488" spans="1:9" x14ac:dyDescent="0.15">
      <c r="A488" s="138"/>
      <c r="B488" s="523" t="s">
        <v>120</v>
      </c>
      <c r="C488" s="524" t="s">
        <v>121</v>
      </c>
      <c r="D488" s="144">
        <v>0</v>
      </c>
      <c r="E488" s="144">
        <v>0</v>
      </c>
      <c r="F488" s="144">
        <v>0</v>
      </c>
      <c r="G488" s="291">
        <v>0</v>
      </c>
      <c r="H488" s="150">
        <v>0</v>
      </c>
      <c r="I488" s="567">
        <f t="shared" si="13"/>
        <v>0</v>
      </c>
    </row>
    <row r="489" spans="1:9" x14ac:dyDescent="0.15">
      <c r="A489" s="138"/>
      <c r="B489" s="523" t="s">
        <v>122</v>
      </c>
      <c r="C489" s="524" t="s">
        <v>123</v>
      </c>
      <c r="D489" s="144">
        <v>0</v>
      </c>
      <c r="E489" s="144">
        <v>0</v>
      </c>
      <c r="F489" s="144">
        <v>0</v>
      </c>
      <c r="G489" s="291">
        <v>0</v>
      </c>
      <c r="H489" s="150">
        <v>0</v>
      </c>
      <c r="I489" s="567">
        <f t="shared" si="13"/>
        <v>0</v>
      </c>
    </row>
    <row r="490" spans="1:9" x14ac:dyDescent="0.15">
      <c r="A490" s="138"/>
      <c r="B490" s="523" t="s">
        <v>1581</v>
      </c>
      <c r="C490" s="524" t="s">
        <v>124</v>
      </c>
      <c r="D490" s="144">
        <v>0</v>
      </c>
      <c r="E490" s="144">
        <v>0</v>
      </c>
      <c r="F490" s="144">
        <v>0</v>
      </c>
      <c r="G490" s="291">
        <v>0</v>
      </c>
      <c r="H490" s="150">
        <v>0</v>
      </c>
      <c r="I490" s="567">
        <f t="shared" si="13"/>
        <v>0</v>
      </c>
    </row>
    <row r="491" spans="1:9" x14ac:dyDescent="0.15">
      <c r="A491" s="138"/>
      <c r="B491" s="523" t="s">
        <v>127</v>
      </c>
      <c r="C491" s="524" t="s">
        <v>134</v>
      </c>
      <c r="D491" s="144">
        <v>0</v>
      </c>
      <c r="E491" s="144">
        <v>0</v>
      </c>
      <c r="F491" s="144">
        <v>0</v>
      </c>
      <c r="G491" s="291">
        <v>0</v>
      </c>
      <c r="H491" s="150">
        <v>0</v>
      </c>
      <c r="I491" s="567">
        <f t="shared" si="13"/>
        <v>0</v>
      </c>
    </row>
    <row r="492" spans="1:9" x14ac:dyDescent="0.15">
      <c r="A492" s="138"/>
      <c r="B492" s="523" t="s">
        <v>128</v>
      </c>
      <c r="C492" s="524" t="s">
        <v>135</v>
      </c>
      <c r="D492" s="144">
        <v>0</v>
      </c>
      <c r="E492" s="144">
        <v>0</v>
      </c>
      <c r="F492" s="144">
        <v>0</v>
      </c>
      <c r="G492" s="291">
        <v>0</v>
      </c>
      <c r="H492" s="150">
        <v>0</v>
      </c>
      <c r="I492" s="567">
        <f t="shared" si="13"/>
        <v>0</v>
      </c>
    </row>
    <row r="493" spans="1:9" x14ac:dyDescent="0.15">
      <c r="A493" s="138"/>
      <c r="B493" s="523" t="s">
        <v>132</v>
      </c>
      <c r="C493" s="524" t="s">
        <v>1617</v>
      </c>
      <c r="D493" s="144">
        <v>0</v>
      </c>
      <c r="E493" s="144">
        <v>0</v>
      </c>
      <c r="F493" s="144">
        <v>0</v>
      </c>
      <c r="G493" s="291">
        <v>0</v>
      </c>
      <c r="H493" s="150">
        <v>0</v>
      </c>
      <c r="I493" s="567">
        <f t="shared" si="13"/>
        <v>0</v>
      </c>
    </row>
    <row r="494" spans="1:9" x14ac:dyDescent="0.15">
      <c r="A494" s="138"/>
      <c r="B494" s="523" t="s">
        <v>1618</v>
      </c>
      <c r="C494" s="524" t="s">
        <v>836</v>
      </c>
      <c r="D494" s="144">
        <v>0</v>
      </c>
      <c r="E494" s="144">
        <v>0</v>
      </c>
      <c r="F494" s="144">
        <v>0</v>
      </c>
      <c r="G494" s="291">
        <v>0</v>
      </c>
      <c r="H494" s="150">
        <v>0</v>
      </c>
      <c r="I494" s="567">
        <f t="shared" si="13"/>
        <v>0</v>
      </c>
    </row>
    <row r="495" spans="1:9" x14ac:dyDescent="0.15">
      <c r="A495" s="138"/>
      <c r="B495" s="523" t="s">
        <v>1619</v>
      </c>
      <c r="C495" s="524" t="s">
        <v>837</v>
      </c>
      <c r="D495" s="144">
        <v>0</v>
      </c>
      <c r="E495" s="144">
        <v>0</v>
      </c>
      <c r="F495" s="144">
        <v>0</v>
      </c>
      <c r="G495" s="291">
        <v>0</v>
      </c>
      <c r="H495" s="150">
        <v>0</v>
      </c>
      <c r="I495" s="567">
        <f t="shared" si="13"/>
        <v>0</v>
      </c>
    </row>
    <row r="496" spans="1:9" x14ac:dyDescent="0.15">
      <c r="A496" s="138"/>
      <c r="B496" s="523" t="s">
        <v>1620</v>
      </c>
      <c r="C496" s="524" t="s">
        <v>838</v>
      </c>
      <c r="D496" s="144">
        <v>0</v>
      </c>
      <c r="E496" s="144">
        <v>0</v>
      </c>
      <c r="F496" s="144">
        <v>0</v>
      </c>
      <c r="G496" s="291">
        <v>0</v>
      </c>
      <c r="H496" s="150">
        <v>0</v>
      </c>
      <c r="I496" s="567">
        <f t="shared" si="13"/>
        <v>0</v>
      </c>
    </row>
    <row r="497" spans="1:9" x14ac:dyDescent="0.15">
      <c r="A497" s="138"/>
      <c r="B497" s="523" t="s">
        <v>1621</v>
      </c>
      <c r="C497" s="524" t="s">
        <v>839</v>
      </c>
      <c r="D497" s="144">
        <v>0</v>
      </c>
      <c r="E497" s="144">
        <v>0</v>
      </c>
      <c r="F497" s="144">
        <v>0</v>
      </c>
      <c r="G497" s="291">
        <v>0</v>
      </c>
      <c r="H497" s="150">
        <v>0</v>
      </c>
      <c r="I497" s="567">
        <f t="shared" si="13"/>
        <v>0</v>
      </c>
    </row>
    <row r="498" spans="1:9" x14ac:dyDescent="0.15">
      <c r="A498" s="138"/>
      <c r="B498" s="523" t="s">
        <v>1622</v>
      </c>
      <c r="C498" s="524" t="s">
        <v>190</v>
      </c>
      <c r="D498" s="144">
        <v>0</v>
      </c>
      <c r="E498" s="144">
        <v>0</v>
      </c>
      <c r="F498" s="144">
        <v>0</v>
      </c>
      <c r="G498" s="291">
        <v>0</v>
      </c>
      <c r="H498" s="150">
        <v>0</v>
      </c>
      <c r="I498" s="567">
        <f t="shared" si="13"/>
        <v>0</v>
      </c>
    </row>
    <row r="499" spans="1:9" x14ac:dyDescent="0.15">
      <c r="A499" s="138"/>
      <c r="B499" s="523" t="s">
        <v>1623</v>
      </c>
      <c r="C499" s="524" t="s">
        <v>191</v>
      </c>
      <c r="D499" s="144">
        <v>0</v>
      </c>
      <c r="E499" s="144">
        <v>0</v>
      </c>
      <c r="F499" s="144">
        <v>0</v>
      </c>
      <c r="G499" s="291">
        <v>0</v>
      </c>
      <c r="H499" s="150">
        <v>0</v>
      </c>
      <c r="I499" s="567">
        <f t="shared" si="13"/>
        <v>0</v>
      </c>
    </row>
    <row r="500" spans="1:9" x14ac:dyDescent="0.15">
      <c r="A500" s="138"/>
      <c r="B500" s="523" t="s">
        <v>1624</v>
      </c>
      <c r="C500" s="524" t="s">
        <v>840</v>
      </c>
      <c r="D500" s="144">
        <v>0</v>
      </c>
      <c r="E500" s="144">
        <v>0</v>
      </c>
      <c r="F500" s="144">
        <v>0</v>
      </c>
      <c r="G500" s="291">
        <v>0</v>
      </c>
      <c r="H500" s="150">
        <v>0</v>
      </c>
      <c r="I500" s="567">
        <f t="shared" si="13"/>
        <v>0</v>
      </c>
    </row>
    <row r="501" spans="1:9" x14ac:dyDescent="0.15">
      <c r="A501" s="138"/>
      <c r="B501" s="523" t="s">
        <v>1625</v>
      </c>
      <c r="C501" s="524" t="s">
        <v>842</v>
      </c>
      <c r="D501" s="144">
        <v>0</v>
      </c>
      <c r="E501" s="144">
        <v>0</v>
      </c>
      <c r="F501" s="144">
        <v>0</v>
      </c>
      <c r="G501" s="291">
        <v>0</v>
      </c>
      <c r="H501" s="150">
        <v>0</v>
      </c>
      <c r="I501" s="567">
        <f t="shared" si="13"/>
        <v>0</v>
      </c>
    </row>
    <row r="502" spans="1:9" x14ac:dyDescent="0.15">
      <c r="A502" s="138"/>
      <c r="B502" s="523" t="s">
        <v>843</v>
      </c>
      <c r="C502" s="524" t="s">
        <v>848</v>
      </c>
      <c r="D502" s="144">
        <v>0</v>
      </c>
      <c r="E502" s="144">
        <v>0</v>
      </c>
      <c r="F502" s="144">
        <v>0</v>
      </c>
      <c r="G502" s="291">
        <v>0</v>
      </c>
      <c r="H502" s="150">
        <v>0</v>
      </c>
      <c r="I502" s="567">
        <f t="shared" si="13"/>
        <v>0</v>
      </c>
    </row>
    <row r="503" spans="1:9" x14ac:dyDescent="0.15">
      <c r="A503" s="138"/>
      <c r="B503" s="523" t="s">
        <v>844</v>
      </c>
      <c r="C503" s="524" t="s">
        <v>153</v>
      </c>
      <c r="D503" s="144">
        <v>0</v>
      </c>
      <c r="E503" s="144">
        <v>0</v>
      </c>
      <c r="F503" s="144">
        <v>0</v>
      </c>
      <c r="G503" s="291">
        <v>0</v>
      </c>
      <c r="H503" s="150">
        <v>0</v>
      </c>
      <c r="I503" s="567">
        <f t="shared" si="13"/>
        <v>0</v>
      </c>
    </row>
    <row r="504" spans="1:9" x14ac:dyDescent="0.15">
      <c r="A504" s="138"/>
      <c r="B504" s="523" t="s">
        <v>845</v>
      </c>
      <c r="C504" s="524" t="s">
        <v>154</v>
      </c>
      <c r="D504" s="144">
        <v>0</v>
      </c>
      <c r="E504" s="144">
        <v>0</v>
      </c>
      <c r="F504" s="144">
        <v>0</v>
      </c>
      <c r="G504" s="291">
        <v>0</v>
      </c>
      <c r="H504" s="150">
        <v>0</v>
      </c>
      <c r="I504" s="567">
        <f t="shared" si="13"/>
        <v>0</v>
      </c>
    </row>
    <row r="505" spans="1:9" x14ac:dyDescent="0.15">
      <c r="A505" s="138"/>
      <c r="B505" s="523" t="s">
        <v>846</v>
      </c>
      <c r="C505" s="524" t="s">
        <v>155</v>
      </c>
      <c r="D505" s="144">
        <v>0</v>
      </c>
      <c r="E505" s="144">
        <v>0</v>
      </c>
      <c r="F505" s="144">
        <v>0</v>
      </c>
      <c r="G505" s="291">
        <v>0</v>
      </c>
      <c r="H505" s="150">
        <v>0</v>
      </c>
      <c r="I505" s="567">
        <f t="shared" si="13"/>
        <v>0</v>
      </c>
    </row>
    <row r="506" spans="1:9" x14ac:dyDescent="0.15">
      <c r="A506" s="138"/>
      <c r="B506" s="523" t="s">
        <v>1582</v>
      </c>
      <c r="C506" s="524" t="s">
        <v>156</v>
      </c>
      <c r="D506" s="144">
        <v>0</v>
      </c>
      <c r="E506" s="144">
        <v>0</v>
      </c>
      <c r="F506" s="144">
        <v>0</v>
      </c>
      <c r="G506" s="291">
        <v>0</v>
      </c>
      <c r="H506" s="150">
        <v>0</v>
      </c>
      <c r="I506" s="567">
        <f t="shared" si="13"/>
        <v>0</v>
      </c>
    </row>
    <row r="507" spans="1:9" x14ac:dyDescent="0.15">
      <c r="A507" s="138"/>
      <c r="B507" s="523" t="s">
        <v>847</v>
      </c>
      <c r="C507" s="524" t="s">
        <v>157</v>
      </c>
      <c r="D507" s="144">
        <v>0</v>
      </c>
      <c r="E507" s="144">
        <v>0</v>
      </c>
      <c r="F507" s="144">
        <v>0</v>
      </c>
      <c r="G507" s="291">
        <v>0</v>
      </c>
      <c r="H507" s="150">
        <v>0</v>
      </c>
      <c r="I507" s="567">
        <f t="shared" si="13"/>
        <v>0</v>
      </c>
    </row>
    <row r="508" spans="1:9" x14ac:dyDescent="0.15">
      <c r="A508" s="138"/>
      <c r="B508" s="523" t="s">
        <v>1583</v>
      </c>
      <c r="C508" s="524" t="s">
        <v>160</v>
      </c>
      <c r="D508" s="144">
        <v>0</v>
      </c>
      <c r="E508" s="144">
        <v>0</v>
      </c>
      <c r="F508" s="144">
        <v>0</v>
      </c>
      <c r="G508" s="291">
        <v>0</v>
      </c>
      <c r="H508" s="150">
        <v>0</v>
      </c>
      <c r="I508" s="567">
        <f t="shared" si="13"/>
        <v>0</v>
      </c>
    </row>
    <row r="509" spans="1:9" x14ac:dyDescent="0.15">
      <c r="A509" s="138"/>
      <c r="B509" s="523" t="s">
        <v>634</v>
      </c>
      <c r="C509" s="524" t="s">
        <v>165</v>
      </c>
      <c r="D509" s="144">
        <v>0</v>
      </c>
      <c r="E509" s="144">
        <v>0</v>
      </c>
      <c r="F509" s="144">
        <v>0</v>
      </c>
      <c r="G509" s="291">
        <v>0</v>
      </c>
      <c r="H509" s="150">
        <v>0</v>
      </c>
      <c r="I509" s="567">
        <f t="shared" si="13"/>
        <v>0</v>
      </c>
    </row>
    <row r="510" spans="1:9" x14ac:dyDescent="0.15">
      <c r="A510" s="138"/>
      <c r="B510" s="523" t="s">
        <v>630</v>
      </c>
      <c r="C510" s="524" t="s">
        <v>172</v>
      </c>
      <c r="D510" s="144">
        <v>0</v>
      </c>
      <c r="E510" s="144">
        <v>0</v>
      </c>
      <c r="F510" s="144">
        <v>0</v>
      </c>
      <c r="G510" s="291">
        <v>0</v>
      </c>
      <c r="H510" s="150">
        <v>0</v>
      </c>
      <c r="I510" s="567">
        <f t="shared" si="13"/>
        <v>0</v>
      </c>
    </row>
    <row r="511" spans="1:9" x14ac:dyDescent="0.15">
      <c r="A511" s="138"/>
      <c r="B511" s="650" t="s">
        <v>631</v>
      </c>
      <c r="C511" s="651" t="s">
        <v>173</v>
      </c>
      <c r="D511" s="144">
        <v>0</v>
      </c>
      <c r="E511" s="144">
        <v>0</v>
      </c>
      <c r="F511" s="144">
        <v>0</v>
      </c>
      <c r="G511" s="291">
        <v>0</v>
      </c>
      <c r="H511" s="150">
        <v>0</v>
      </c>
      <c r="I511" s="567">
        <f t="shared" si="13"/>
        <v>0</v>
      </c>
    </row>
    <row r="512" spans="1:9" x14ac:dyDescent="0.15">
      <c r="A512" s="138"/>
      <c r="B512" s="523" t="s">
        <v>1584</v>
      </c>
      <c r="C512" s="524" t="s">
        <v>178</v>
      </c>
      <c r="D512" s="144">
        <v>0</v>
      </c>
      <c r="E512" s="144">
        <v>0</v>
      </c>
      <c r="F512" s="144">
        <v>0</v>
      </c>
      <c r="G512" s="291">
        <v>0</v>
      </c>
      <c r="H512" s="150">
        <v>0</v>
      </c>
      <c r="I512" s="567">
        <f t="shared" si="13"/>
        <v>0</v>
      </c>
    </row>
    <row r="513" spans="1:9" x14ac:dyDescent="0.15">
      <c r="A513" s="138"/>
      <c r="B513" s="523" t="s">
        <v>174</v>
      </c>
      <c r="C513" s="524" t="s">
        <v>179</v>
      </c>
      <c r="D513" s="144">
        <v>0</v>
      </c>
      <c r="E513" s="144">
        <v>0</v>
      </c>
      <c r="F513" s="144">
        <v>0</v>
      </c>
      <c r="G513" s="291">
        <v>0</v>
      </c>
      <c r="H513" s="150">
        <v>0</v>
      </c>
      <c r="I513" s="567">
        <f t="shared" si="13"/>
        <v>0</v>
      </c>
    </row>
    <row r="514" spans="1:9" x14ac:dyDescent="0.15">
      <c r="A514" s="138"/>
      <c r="B514" s="523" t="s">
        <v>175</v>
      </c>
      <c r="C514" s="524" t="s">
        <v>180</v>
      </c>
      <c r="D514" s="144">
        <v>0</v>
      </c>
      <c r="E514" s="144">
        <v>0</v>
      </c>
      <c r="F514" s="144">
        <v>0</v>
      </c>
      <c r="G514" s="291">
        <v>0</v>
      </c>
      <c r="H514" s="150">
        <v>0</v>
      </c>
      <c r="I514" s="567">
        <f t="shared" si="13"/>
        <v>0</v>
      </c>
    </row>
    <row r="515" spans="1:9" ht="11.25" thickBot="1" x14ac:dyDescent="0.2">
      <c r="A515" s="138"/>
      <c r="B515" s="523" t="s">
        <v>176</v>
      </c>
      <c r="C515" s="524" t="s">
        <v>181</v>
      </c>
      <c r="D515" s="144">
        <v>0</v>
      </c>
      <c r="E515" s="144">
        <v>0</v>
      </c>
      <c r="F515" s="144">
        <v>0</v>
      </c>
      <c r="G515" s="291">
        <v>0</v>
      </c>
      <c r="H515" s="150">
        <v>0</v>
      </c>
      <c r="I515" s="567">
        <f t="shared" si="13"/>
        <v>0</v>
      </c>
    </row>
    <row r="516" spans="1:9" ht="12" thickTop="1" thickBot="1" x14ac:dyDescent="0.2">
      <c r="A516" s="138"/>
      <c r="B516" s="523"/>
      <c r="C516" s="524" t="s">
        <v>245</v>
      </c>
      <c r="D516" s="169">
        <f>SUM(D482:D515)</f>
        <v>0</v>
      </c>
      <c r="E516" s="169">
        <f>SUM(E482:E515)</f>
        <v>0</v>
      </c>
      <c r="F516" s="169">
        <f>SUM(F482:F515)</f>
        <v>0</v>
      </c>
      <c r="G516" s="169">
        <f>SUM(G482:G515)</f>
        <v>0</v>
      </c>
      <c r="H516" s="169">
        <f>SUM(H482:H515)</f>
        <v>0</v>
      </c>
      <c r="I516" s="169">
        <f t="shared" si="13"/>
        <v>0</v>
      </c>
    </row>
    <row r="517" spans="1:9" ht="11.25" thickTop="1" x14ac:dyDescent="0.15">
      <c r="A517" s="138"/>
      <c r="B517" s="524"/>
      <c r="C517" s="524"/>
      <c r="D517" s="14"/>
      <c r="E517" s="14"/>
      <c r="F517" s="14"/>
      <c r="G517" s="14"/>
      <c r="H517" s="14"/>
      <c r="I517" s="563"/>
    </row>
    <row r="518" spans="1:9" x14ac:dyDescent="0.15">
      <c r="A518" s="522" t="s">
        <v>246</v>
      </c>
      <c r="B518" s="524"/>
      <c r="C518" s="524"/>
      <c r="D518" s="14"/>
      <c r="E518" s="14"/>
      <c r="F518" s="14"/>
      <c r="G518" s="14"/>
      <c r="H518" s="14"/>
      <c r="I518" s="563"/>
    </row>
    <row r="519" spans="1:9" x14ac:dyDescent="0.15">
      <c r="A519" s="434"/>
      <c r="B519" s="523" t="s">
        <v>1577</v>
      </c>
      <c r="C519" s="524" t="s">
        <v>228</v>
      </c>
      <c r="D519" s="316">
        <v>0</v>
      </c>
      <c r="E519" s="316">
        <v>0</v>
      </c>
      <c r="F519" s="316">
        <v>0</v>
      </c>
      <c r="G519" s="528">
        <f t="array" ref="G519">SUM(IF(CertFund&amp;CertProg&amp;CertObj=RIGHT(LEFT($A$2,7),2)&amp;LEFT(A518,4)&amp;B519,CertSalary))</f>
        <v>0</v>
      </c>
      <c r="H519" s="527">
        <v>0</v>
      </c>
      <c r="I519" s="566">
        <f>SUM(G519+H519)</f>
        <v>0</v>
      </c>
    </row>
    <row r="520" spans="1:9" x14ac:dyDescent="0.15">
      <c r="A520" s="434"/>
      <c r="B520" s="523" t="s">
        <v>1577</v>
      </c>
      <c r="C520" s="524" t="s">
        <v>510</v>
      </c>
      <c r="D520" s="316">
        <v>0</v>
      </c>
      <c r="E520" s="316">
        <v>0</v>
      </c>
      <c r="F520" s="316">
        <v>0</v>
      </c>
      <c r="G520" s="316">
        <v>0</v>
      </c>
      <c r="H520" s="527">
        <v>0</v>
      </c>
      <c r="I520" s="566">
        <f>SUM(G520+H520)</f>
        <v>0</v>
      </c>
    </row>
    <row r="521" spans="1:9" x14ac:dyDescent="0.15">
      <c r="A521" s="524"/>
      <c r="B521" s="523" t="s">
        <v>1578</v>
      </c>
      <c r="C521" s="524" t="s">
        <v>936</v>
      </c>
      <c r="D521" s="316">
        <v>0</v>
      </c>
      <c r="E521" s="316">
        <v>0</v>
      </c>
      <c r="F521" s="316">
        <v>0</v>
      </c>
      <c r="G521" s="529">
        <f t="array" ref="G521">SUM(IF(CertFund&amp;CertProg&amp;CertObj=RIGHT(LEFT($A$2,7),2)&amp;LEFT(A518,4)&amp;B519,CertBen))</f>
        <v>0</v>
      </c>
      <c r="H521" s="527">
        <v>0</v>
      </c>
      <c r="I521" s="566">
        <f>SUM(G521+H521)</f>
        <v>0</v>
      </c>
    </row>
    <row r="522" spans="1:9" x14ac:dyDescent="0.15">
      <c r="A522" s="138"/>
      <c r="B522" s="521" t="s">
        <v>1578</v>
      </c>
      <c r="C522" s="138" t="s">
        <v>511</v>
      </c>
      <c r="D522" s="147">
        <v>0</v>
      </c>
      <c r="E522" s="147">
        <v>0</v>
      </c>
      <c r="F522" s="147">
        <v>0</v>
      </c>
      <c r="G522" s="147">
        <v>0</v>
      </c>
      <c r="H522" s="150">
        <v>0</v>
      </c>
      <c r="I522" s="567">
        <f>SUM(G522+H522)</f>
        <v>0</v>
      </c>
    </row>
    <row r="523" spans="1:9" x14ac:dyDescent="0.15">
      <c r="A523" s="138"/>
      <c r="B523" s="523" t="s">
        <v>1579</v>
      </c>
      <c r="C523" s="524" t="s">
        <v>118</v>
      </c>
      <c r="D523" s="144">
        <v>0</v>
      </c>
      <c r="E523" s="144">
        <v>0</v>
      </c>
      <c r="F523" s="144">
        <v>0</v>
      </c>
      <c r="G523" s="144">
        <v>0</v>
      </c>
      <c r="H523" s="150">
        <v>0</v>
      </c>
      <c r="I523" s="567">
        <f t="shared" ref="I523:I553" si="14">SUM(G523+H523)</f>
        <v>0</v>
      </c>
    </row>
    <row r="524" spans="1:9" x14ac:dyDescent="0.15">
      <c r="A524" s="138"/>
      <c r="B524" s="523" t="s">
        <v>1580</v>
      </c>
      <c r="C524" s="524" t="s">
        <v>119</v>
      </c>
      <c r="D524" s="144">
        <v>0</v>
      </c>
      <c r="E524" s="144">
        <v>0</v>
      </c>
      <c r="F524" s="144">
        <v>0</v>
      </c>
      <c r="G524" s="144">
        <v>0</v>
      </c>
      <c r="H524" s="150">
        <v>0</v>
      </c>
      <c r="I524" s="567">
        <f t="shared" si="14"/>
        <v>0</v>
      </c>
    </row>
    <row r="525" spans="1:9" x14ac:dyDescent="0.15">
      <c r="A525" s="138"/>
      <c r="B525" s="523" t="s">
        <v>120</v>
      </c>
      <c r="C525" s="524" t="s">
        <v>121</v>
      </c>
      <c r="D525" s="144">
        <v>0</v>
      </c>
      <c r="E525" s="144">
        <v>0</v>
      </c>
      <c r="F525" s="144">
        <v>0</v>
      </c>
      <c r="G525" s="144">
        <v>0</v>
      </c>
      <c r="H525" s="150">
        <v>0</v>
      </c>
      <c r="I525" s="567">
        <f t="shared" si="14"/>
        <v>0</v>
      </c>
    </row>
    <row r="526" spans="1:9" x14ac:dyDescent="0.15">
      <c r="A526" s="138"/>
      <c r="B526" s="523" t="s">
        <v>122</v>
      </c>
      <c r="C526" s="524" t="s">
        <v>123</v>
      </c>
      <c r="D526" s="144">
        <v>0</v>
      </c>
      <c r="E526" s="144">
        <v>0</v>
      </c>
      <c r="F526" s="144">
        <v>0</v>
      </c>
      <c r="G526" s="144">
        <v>0</v>
      </c>
      <c r="H526" s="150">
        <v>0</v>
      </c>
      <c r="I526" s="567">
        <f t="shared" si="14"/>
        <v>0</v>
      </c>
    </row>
    <row r="527" spans="1:9" x14ac:dyDescent="0.15">
      <c r="A527" s="138"/>
      <c r="B527" s="523" t="s">
        <v>1581</v>
      </c>
      <c r="C527" s="524" t="s">
        <v>124</v>
      </c>
      <c r="D527" s="144">
        <v>0</v>
      </c>
      <c r="E527" s="144">
        <v>0</v>
      </c>
      <c r="F527" s="144">
        <v>0</v>
      </c>
      <c r="G527" s="144">
        <v>0</v>
      </c>
      <c r="H527" s="150">
        <v>0</v>
      </c>
      <c r="I527" s="567">
        <f t="shared" si="14"/>
        <v>0</v>
      </c>
    </row>
    <row r="528" spans="1:9" x14ac:dyDescent="0.15">
      <c r="A528" s="138"/>
      <c r="B528" s="523" t="s">
        <v>127</v>
      </c>
      <c r="C528" s="524" t="s">
        <v>134</v>
      </c>
      <c r="D528" s="144">
        <v>0</v>
      </c>
      <c r="E528" s="144">
        <v>0</v>
      </c>
      <c r="F528" s="144">
        <v>0</v>
      </c>
      <c r="G528" s="144">
        <v>0</v>
      </c>
      <c r="H528" s="150">
        <v>0</v>
      </c>
      <c r="I528" s="567">
        <f t="shared" si="14"/>
        <v>0</v>
      </c>
    </row>
    <row r="529" spans="1:9" x14ac:dyDescent="0.15">
      <c r="A529" s="138"/>
      <c r="B529" s="523" t="s">
        <v>128</v>
      </c>
      <c r="C529" s="524" t="s">
        <v>135</v>
      </c>
      <c r="D529" s="144">
        <v>0</v>
      </c>
      <c r="E529" s="144">
        <v>0</v>
      </c>
      <c r="F529" s="144">
        <v>0</v>
      </c>
      <c r="G529" s="144">
        <v>0</v>
      </c>
      <c r="H529" s="150">
        <v>0</v>
      </c>
      <c r="I529" s="567">
        <f t="shared" si="14"/>
        <v>0</v>
      </c>
    </row>
    <row r="530" spans="1:9" x14ac:dyDescent="0.15">
      <c r="A530" s="138"/>
      <c r="B530" s="523" t="s">
        <v>132</v>
      </c>
      <c r="C530" s="524" t="s">
        <v>1617</v>
      </c>
      <c r="D530" s="144">
        <v>0</v>
      </c>
      <c r="E530" s="144">
        <v>0</v>
      </c>
      <c r="F530" s="144">
        <v>0</v>
      </c>
      <c r="G530" s="144">
        <v>0</v>
      </c>
      <c r="H530" s="150">
        <v>0</v>
      </c>
      <c r="I530" s="567">
        <f t="shared" si="14"/>
        <v>0</v>
      </c>
    </row>
    <row r="531" spans="1:9" x14ac:dyDescent="0.15">
      <c r="A531" s="138"/>
      <c r="B531" s="523" t="s">
        <v>1618</v>
      </c>
      <c r="C531" s="524" t="s">
        <v>836</v>
      </c>
      <c r="D531" s="144">
        <v>0</v>
      </c>
      <c r="E531" s="144">
        <v>0</v>
      </c>
      <c r="F531" s="144">
        <v>0</v>
      </c>
      <c r="G531" s="144">
        <v>0</v>
      </c>
      <c r="H531" s="150">
        <v>0</v>
      </c>
      <c r="I531" s="567">
        <f t="shared" si="14"/>
        <v>0</v>
      </c>
    </row>
    <row r="532" spans="1:9" x14ac:dyDescent="0.15">
      <c r="A532" s="138"/>
      <c r="B532" s="523" t="s">
        <v>1619</v>
      </c>
      <c r="C532" s="524" t="s">
        <v>837</v>
      </c>
      <c r="D532" s="144">
        <v>0</v>
      </c>
      <c r="E532" s="144">
        <v>0</v>
      </c>
      <c r="F532" s="144">
        <v>0</v>
      </c>
      <c r="G532" s="144">
        <v>0</v>
      </c>
      <c r="H532" s="150">
        <v>0</v>
      </c>
      <c r="I532" s="567">
        <f t="shared" si="14"/>
        <v>0</v>
      </c>
    </row>
    <row r="533" spans="1:9" x14ac:dyDescent="0.15">
      <c r="A533" s="138"/>
      <c r="B533" s="523" t="s">
        <v>1620</v>
      </c>
      <c r="C533" s="524" t="s">
        <v>838</v>
      </c>
      <c r="D533" s="144">
        <v>0</v>
      </c>
      <c r="E533" s="144">
        <v>0</v>
      </c>
      <c r="F533" s="144">
        <v>0</v>
      </c>
      <c r="G533" s="144">
        <v>0</v>
      </c>
      <c r="H533" s="150">
        <v>0</v>
      </c>
      <c r="I533" s="567">
        <f t="shared" si="14"/>
        <v>0</v>
      </c>
    </row>
    <row r="534" spans="1:9" x14ac:dyDescent="0.15">
      <c r="A534" s="138"/>
      <c r="B534" s="523" t="s">
        <v>1621</v>
      </c>
      <c r="C534" s="524" t="s">
        <v>839</v>
      </c>
      <c r="D534" s="144">
        <v>0</v>
      </c>
      <c r="E534" s="144">
        <v>0</v>
      </c>
      <c r="F534" s="144">
        <v>0</v>
      </c>
      <c r="G534" s="144">
        <v>0</v>
      </c>
      <c r="H534" s="150">
        <v>0</v>
      </c>
      <c r="I534" s="567">
        <f t="shared" si="14"/>
        <v>0</v>
      </c>
    </row>
    <row r="535" spans="1:9" x14ac:dyDescent="0.15">
      <c r="A535" s="138"/>
      <c r="B535" s="523" t="s">
        <v>1622</v>
      </c>
      <c r="C535" s="524" t="s">
        <v>190</v>
      </c>
      <c r="D535" s="144">
        <v>0</v>
      </c>
      <c r="E535" s="144">
        <v>0</v>
      </c>
      <c r="F535" s="144">
        <v>0</v>
      </c>
      <c r="G535" s="144">
        <v>0</v>
      </c>
      <c r="H535" s="150">
        <v>0</v>
      </c>
      <c r="I535" s="567">
        <f t="shared" si="14"/>
        <v>0</v>
      </c>
    </row>
    <row r="536" spans="1:9" x14ac:dyDescent="0.15">
      <c r="A536" s="138"/>
      <c r="B536" s="523" t="s">
        <v>1623</v>
      </c>
      <c r="C536" s="524" t="s">
        <v>191</v>
      </c>
      <c r="D536" s="144">
        <v>0</v>
      </c>
      <c r="E536" s="144">
        <v>0</v>
      </c>
      <c r="F536" s="144">
        <v>0</v>
      </c>
      <c r="G536" s="144">
        <v>0</v>
      </c>
      <c r="H536" s="150">
        <v>0</v>
      </c>
      <c r="I536" s="567">
        <f t="shared" si="14"/>
        <v>0</v>
      </c>
    </row>
    <row r="537" spans="1:9" x14ac:dyDescent="0.15">
      <c r="A537" s="138"/>
      <c r="B537" s="523" t="s">
        <v>1624</v>
      </c>
      <c r="C537" s="524" t="s">
        <v>840</v>
      </c>
      <c r="D537" s="144">
        <v>0</v>
      </c>
      <c r="E537" s="144">
        <v>0</v>
      </c>
      <c r="F537" s="144">
        <v>0</v>
      </c>
      <c r="G537" s="144">
        <v>0</v>
      </c>
      <c r="H537" s="150">
        <v>0</v>
      </c>
      <c r="I537" s="567">
        <f t="shared" si="14"/>
        <v>0</v>
      </c>
    </row>
    <row r="538" spans="1:9" x14ac:dyDescent="0.15">
      <c r="A538" s="138"/>
      <c r="B538" s="523" t="s">
        <v>1625</v>
      </c>
      <c r="C538" s="524" t="s">
        <v>842</v>
      </c>
      <c r="D538" s="144">
        <v>0</v>
      </c>
      <c r="E538" s="144">
        <v>0</v>
      </c>
      <c r="F538" s="144">
        <v>0</v>
      </c>
      <c r="G538" s="144">
        <v>0</v>
      </c>
      <c r="H538" s="150">
        <v>0</v>
      </c>
      <c r="I538" s="567">
        <f t="shared" si="14"/>
        <v>0</v>
      </c>
    </row>
    <row r="539" spans="1:9" x14ac:dyDescent="0.15">
      <c r="A539" s="138"/>
      <c r="B539" s="523" t="s">
        <v>843</v>
      </c>
      <c r="C539" s="524" t="s">
        <v>848</v>
      </c>
      <c r="D539" s="144">
        <v>0</v>
      </c>
      <c r="E539" s="144">
        <v>0</v>
      </c>
      <c r="F539" s="144">
        <v>0</v>
      </c>
      <c r="G539" s="144">
        <v>0</v>
      </c>
      <c r="H539" s="150">
        <v>0</v>
      </c>
      <c r="I539" s="567">
        <f t="shared" si="14"/>
        <v>0</v>
      </c>
    </row>
    <row r="540" spans="1:9" x14ac:dyDescent="0.15">
      <c r="A540" s="138"/>
      <c r="B540" s="523" t="s">
        <v>844</v>
      </c>
      <c r="C540" s="524" t="s">
        <v>153</v>
      </c>
      <c r="D540" s="144">
        <v>0</v>
      </c>
      <c r="E540" s="144">
        <v>0</v>
      </c>
      <c r="F540" s="144">
        <v>0</v>
      </c>
      <c r="G540" s="144">
        <v>0</v>
      </c>
      <c r="H540" s="150">
        <v>0</v>
      </c>
      <c r="I540" s="567">
        <f t="shared" si="14"/>
        <v>0</v>
      </c>
    </row>
    <row r="541" spans="1:9" x14ac:dyDescent="0.15">
      <c r="A541" s="138"/>
      <c r="B541" s="523" t="s">
        <v>845</v>
      </c>
      <c r="C541" s="524" t="s">
        <v>154</v>
      </c>
      <c r="D541" s="144">
        <v>0</v>
      </c>
      <c r="E541" s="144">
        <v>0</v>
      </c>
      <c r="F541" s="144">
        <v>0</v>
      </c>
      <c r="G541" s="144">
        <v>0</v>
      </c>
      <c r="H541" s="150">
        <v>0</v>
      </c>
      <c r="I541" s="567">
        <f t="shared" si="14"/>
        <v>0</v>
      </c>
    </row>
    <row r="542" spans="1:9" x14ac:dyDescent="0.15">
      <c r="A542" s="138"/>
      <c r="B542" s="523" t="s">
        <v>846</v>
      </c>
      <c r="C542" s="524" t="s">
        <v>155</v>
      </c>
      <c r="D542" s="144">
        <v>0</v>
      </c>
      <c r="E542" s="144">
        <v>0</v>
      </c>
      <c r="F542" s="144">
        <v>0</v>
      </c>
      <c r="G542" s="144">
        <v>0</v>
      </c>
      <c r="H542" s="150">
        <v>0</v>
      </c>
      <c r="I542" s="567">
        <f t="shared" si="14"/>
        <v>0</v>
      </c>
    </row>
    <row r="543" spans="1:9" x14ac:dyDescent="0.15">
      <c r="A543" s="138"/>
      <c r="B543" s="523" t="s">
        <v>1582</v>
      </c>
      <c r="C543" s="524" t="s">
        <v>156</v>
      </c>
      <c r="D543" s="144">
        <v>0</v>
      </c>
      <c r="E543" s="144">
        <v>0</v>
      </c>
      <c r="F543" s="144">
        <v>0</v>
      </c>
      <c r="G543" s="144">
        <v>0</v>
      </c>
      <c r="H543" s="150">
        <v>0</v>
      </c>
      <c r="I543" s="567">
        <f t="shared" si="14"/>
        <v>0</v>
      </c>
    </row>
    <row r="544" spans="1:9" x14ac:dyDescent="0.15">
      <c r="A544" s="138"/>
      <c r="B544" s="523" t="s">
        <v>847</v>
      </c>
      <c r="C544" s="524" t="s">
        <v>157</v>
      </c>
      <c r="D544" s="144">
        <v>0</v>
      </c>
      <c r="E544" s="144">
        <v>0</v>
      </c>
      <c r="F544" s="144">
        <v>0</v>
      </c>
      <c r="G544" s="144">
        <v>0</v>
      </c>
      <c r="H544" s="150">
        <v>0</v>
      </c>
      <c r="I544" s="567">
        <f t="shared" si="14"/>
        <v>0</v>
      </c>
    </row>
    <row r="545" spans="1:9" x14ac:dyDescent="0.15">
      <c r="A545" s="138"/>
      <c r="B545" s="523" t="s">
        <v>1583</v>
      </c>
      <c r="C545" s="524" t="s">
        <v>160</v>
      </c>
      <c r="D545" s="144">
        <v>0</v>
      </c>
      <c r="E545" s="144">
        <v>0</v>
      </c>
      <c r="F545" s="144">
        <v>0</v>
      </c>
      <c r="G545" s="144">
        <v>0</v>
      </c>
      <c r="H545" s="150">
        <v>0</v>
      </c>
      <c r="I545" s="567">
        <f t="shared" si="14"/>
        <v>0</v>
      </c>
    </row>
    <row r="546" spans="1:9" x14ac:dyDescent="0.15">
      <c r="A546" s="138"/>
      <c r="B546" s="523" t="s">
        <v>634</v>
      </c>
      <c r="C546" s="524" t="s">
        <v>165</v>
      </c>
      <c r="D546" s="144">
        <v>0</v>
      </c>
      <c r="E546" s="144">
        <v>0</v>
      </c>
      <c r="F546" s="144">
        <v>0</v>
      </c>
      <c r="G546" s="144">
        <v>0</v>
      </c>
      <c r="H546" s="150">
        <v>0</v>
      </c>
      <c r="I546" s="567">
        <f t="shared" si="14"/>
        <v>0</v>
      </c>
    </row>
    <row r="547" spans="1:9" x14ac:dyDescent="0.15">
      <c r="A547" s="138"/>
      <c r="B547" s="523" t="s">
        <v>630</v>
      </c>
      <c r="C547" s="524" t="s">
        <v>172</v>
      </c>
      <c r="D547" s="144">
        <v>0</v>
      </c>
      <c r="E547" s="144">
        <v>0</v>
      </c>
      <c r="F547" s="144">
        <v>0</v>
      </c>
      <c r="G547" s="144">
        <v>0</v>
      </c>
      <c r="H547" s="150">
        <v>0</v>
      </c>
      <c r="I547" s="567">
        <f t="shared" si="14"/>
        <v>0</v>
      </c>
    </row>
    <row r="548" spans="1:9" x14ac:dyDescent="0.15">
      <c r="A548" s="138"/>
      <c r="B548" s="650" t="s">
        <v>631</v>
      </c>
      <c r="C548" s="651" t="s">
        <v>173</v>
      </c>
      <c r="D548" s="144">
        <v>0</v>
      </c>
      <c r="E548" s="144">
        <v>0</v>
      </c>
      <c r="F548" s="144">
        <v>0</v>
      </c>
      <c r="G548" s="144">
        <v>0</v>
      </c>
      <c r="H548" s="150">
        <v>0</v>
      </c>
      <c r="I548" s="567">
        <f t="shared" si="14"/>
        <v>0</v>
      </c>
    </row>
    <row r="549" spans="1:9" x14ac:dyDescent="0.15">
      <c r="A549" s="138"/>
      <c r="B549" s="523" t="s">
        <v>1584</v>
      </c>
      <c r="C549" s="524" t="s">
        <v>178</v>
      </c>
      <c r="D549" s="144">
        <v>0</v>
      </c>
      <c r="E549" s="144">
        <v>0</v>
      </c>
      <c r="F549" s="144">
        <v>0</v>
      </c>
      <c r="G549" s="144">
        <v>0</v>
      </c>
      <c r="H549" s="150">
        <v>0</v>
      </c>
      <c r="I549" s="567">
        <f t="shared" si="14"/>
        <v>0</v>
      </c>
    </row>
    <row r="550" spans="1:9" x14ac:dyDescent="0.15">
      <c r="A550" s="138"/>
      <c r="B550" s="523" t="s">
        <v>174</v>
      </c>
      <c r="C550" s="524" t="s">
        <v>179</v>
      </c>
      <c r="D550" s="144">
        <v>0</v>
      </c>
      <c r="E550" s="144">
        <v>0</v>
      </c>
      <c r="F550" s="144">
        <v>0</v>
      </c>
      <c r="G550" s="144">
        <v>0</v>
      </c>
      <c r="H550" s="150">
        <v>0</v>
      </c>
      <c r="I550" s="567">
        <f t="shared" si="14"/>
        <v>0</v>
      </c>
    </row>
    <row r="551" spans="1:9" x14ac:dyDescent="0.15">
      <c r="A551" s="138"/>
      <c r="B551" s="523" t="s">
        <v>175</v>
      </c>
      <c r="C551" s="524" t="s">
        <v>180</v>
      </c>
      <c r="D551" s="144">
        <v>0</v>
      </c>
      <c r="E551" s="144">
        <v>0</v>
      </c>
      <c r="F551" s="144">
        <v>0</v>
      </c>
      <c r="G551" s="144">
        <v>0</v>
      </c>
      <c r="H551" s="150">
        <v>0</v>
      </c>
      <c r="I551" s="567">
        <f t="shared" si="14"/>
        <v>0</v>
      </c>
    </row>
    <row r="552" spans="1:9" ht="11.25" thickBot="1" x14ac:dyDescent="0.2">
      <c r="A552" s="138"/>
      <c r="B552" s="523" t="s">
        <v>176</v>
      </c>
      <c r="C552" s="524" t="s">
        <v>181</v>
      </c>
      <c r="D552" s="144">
        <v>0</v>
      </c>
      <c r="E552" s="144">
        <v>0</v>
      </c>
      <c r="F552" s="144">
        <v>0</v>
      </c>
      <c r="G552" s="144">
        <v>0</v>
      </c>
      <c r="H552" s="150">
        <v>0</v>
      </c>
      <c r="I552" s="567">
        <f t="shared" si="14"/>
        <v>0</v>
      </c>
    </row>
    <row r="553" spans="1:9" ht="12" thickTop="1" thickBot="1" x14ac:dyDescent="0.2">
      <c r="A553" s="138"/>
      <c r="B553" s="523"/>
      <c r="C553" s="524" t="s">
        <v>138</v>
      </c>
      <c r="D553" s="169">
        <f>SUM(D519:D552)</f>
        <v>0</v>
      </c>
      <c r="E553" s="169">
        <f>SUM(E519:E552)</f>
        <v>0</v>
      </c>
      <c r="F553" s="169">
        <f>SUM(F519:F552)</f>
        <v>0</v>
      </c>
      <c r="G553" s="169">
        <f>SUM(G519:G552)</f>
        <v>0</v>
      </c>
      <c r="H553" s="169">
        <f>SUM(H519:H552)</f>
        <v>0</v>
      </c>
      <c r="I553" s="169">
        <f t="shared" si="14"/>
        <v>0</v>
      </c>
    </row>
    <row r="554" spans="1:9" ht="11.25" thickTop="1" x14ac:dyDescent="0.15">
      <c r="A554" s="138"/>
      <c r="B554" s="524"/>
      <c r="C554" s="524"/>
      <c r="D554" s="14"/>
      <c r="E554" s="14"/>
      <c r="F554" s="14"/>
      <c r="G554" s="14"/>
      <c r="H554" s="14"/>
      <c r="I554" s="563"/>
    </row>
    <row r="555" spans="1:9" x14ac:dyDescent="0.15">
      <c r="A555" s="522" t="s">
        <v>139</v>
      </c>
      <c r="B555" s="524"/>
      <c r="C555" s="524"/>
      <c r="D555" s="14"/>
      <c r="E555" s="14"/>
      <c r="F555" s="14"/>
      <c r="G555" s="14"/>
      <c r="H555" s="14"/>
      <c r="I555" s="563"/>
    </row>
    <row r="556" spans="1:9" x14ac:dyDescent="0.15">
      <c r="A556" s="434"/>
      <c r="B556" s="523" t="s">
        <v>1577</v>
      </c>
      <c r="C556" s="524" t="s">
        <v>228</v>
      </c>
      <c r="D556" s="316">
        <v>0</v>
      </c>
      <c r="E556" s="316">
        <v>0</v>
      </c>
      <c r="F556" s="316">
        <v>0</v>
      </c>
      <c r="G556" s="528">
        <f t="array" ref="G556">SUM(IF(CertFund&amp;CertProg&amp;CertObj=RIGHT(LEFT($A$2,7),2)&amp;LEFT(A555,4)&amp;B556,CertSalary))</f>
        <v>0</v>
      </c>
      <c r="H556" s="527">
        <v>0</v>
      </c>
      <c r="I556" s="566">
        <f>SUM(G556+H556)</f>
        <v>0</v>
      </c>
    </row>
    <row r="557" spans="1:9" x14ac:dyDescent="0.15">
      <c r="A557" s="434"/>
      <c r="B557" s="523" t="s">
        <v>1577</v>
      </c>
      <c r="C557" s="524" t="s">
        <v>510</v>
      </c>
      <c r="D557" s="316">
        <v>0</v>
      </c>
      <c r="E557" s="316">
        <v>0</v>
      </c>
      <c r="F557" s="316">
        <v>0</v>
      </c>
      <c r="G557" s="316">
        <v>0</v>
      </c>
      <c r="H557" s="527">
        <v>0</v>
      </c>
      <c r="I557" s="566">
        <f>SUM(G557+H557)</f>
        <v>0</v>
      </c>
    </row>
    <row r="558" spans="1:9" x14ac:dyDescent="0.15">
      <c r="A558" s="524"/>
      <c r="B558" s="523" t="s">
        <v>1578</v>
      </c>
      <c r="C558" s="524" t="s">
        <v>936</v>
      </c>
      <c r="D558" s="316">
        <v>0</v>
      </c>
      <c r="E558" s="316">
        <v>0</v>
      </c>
      <c r="F558" s="316">
        <v>0</v>
      </c>
      <c r="G558" s="529">
        <f t="array" ref="G558">SUM(IF(CertFund&amp;CertProg&amp;CertObj=RIGHT(LEFT($A$2,7),2)&amp;LEFT(A555,4)&amp;B556,CertBen))</f>
        <v>0</v>
      </c>
      <c r="H558" s="527">
        <v>0</v>
      </c>
      <c r="I558" s="566">
        <f>SUM(G558+H558)</f>
        <v>0</v>
      </c>
    </row>
    <row r="559" spans="1:9" x14ac:dyDescent="0.15">
      <c r="A559" s="138"/>
      <c r="B559" s="521" t="s">
        <v>1578</v>
      </c>
      <c r="C559" s="138" t="s">
        <v>511</v>
      </c>
      <c r="D559" s="147">
        <v>0</v>
      </c>
      <c r="E559" s="147">
        <v>0</v>
      </c>
      <c r="F559" s="147">
        <v>0</v>
      </c>
      <c r="G559" s="147">
        <v>0</v>
      </c>
      <c r="H559" s="150">
        <v>0</v>
      </c>
      <c r="I559" s="567">
        <f>SUM(G559+H559)</f>
        <v>0</v>
      </c>
    </row>
    <row r="560" spans="1:9" x14ac:dyDescent="0.15">
      <c r="A560" s="138"/>
      <c r="B560" s="523" t="s">
        <v>1579</v>
      </c>
      <c r="C560" s="524" t="s">
        <v>118</v>
      </c>
      <c r="D560" s="144">
        <v>0</v>
      </c>
      <c r="E560" s="144">
        <v>0</v>
      </c>
      <c r="F560" s="144">
        <v>0</v>
      </c>
      <c r="G560" s="144">
        <v>0</v>
      </c>
      <c r="H560" s="150">
        <v>0</v>
      </c>
      <c r="I560" s="567">
        <f t="shared" ref="I560:I590" si="15">SUM(G560+H560)</f>
        <v>0</v>
      </c>
    </row>
    <row r="561" spans="1:9" x14ac:dyDescent="0.15">
      <c r="A561" s="138"/>
      <c r="B561" s="523" t="s">
        <v>1580</v>
      </c>
      <c r="C561" s="524" t="s">
        <v>119</v>
      </c>
      <c r="D561" s="144">
        <v>0</v>
      </c>
      <c r="E561" s="144">
        <v>0</v>
      </c>
      <c r="F561" s="144">
        <v>0</v>
      </c>
      <c r="G561" s="144">
        <v>0</v>
      </c>
      <c r="H561" s="150">
        <v>0</v>
      </c>
      <c r="I561" s="567">
        <f t="shared" si="15"/>
        <v>0</v>
      </c>
    </row>
    <row r="562" spans="1:9" x14ac:dyDescent="0.15">
      <c r="A562" s="138"/>
      <c r="B562" s="523" t="s">
        <v>120</v>
      </c>
      <c r="C562" s="524" t="s">
        <v>121</v>
      </c>
      <c r="D562" s="144">
        <v>0</v>
      </c>
      <c r="E562" s="144">
        <v>0</v>
      </c>
      <c r="F562" s="144">
        <v>0</v>
      </c>
      <c r="G562" s="144">
        <v>0</v>
      </c>
      <c r="H562" s="150">
        <v>0</v>
      </c>
      <c r="I562" s="567">
        <f t="shared" si="15"/>
        <v>0</v>
      </c>
    </row>
    <row r="563" spans="1:9" x14ac:dyDescent="0.15">
      <c r="A563" s="138"/>
      <c r="B563" s="523" t="s">
        <v>122</v>
      </c>
      <c r="C563" s="524" t="s">
        <v>123</v>
      </c>
      <c r="D563" s="144">
        <v>0</v>
      </c>
      <c r="E563" s="144">
        <v>0</v>
      </c>
      <c r="F563" s="144">
        <v>0</v>
      </c>
      <c r="G563" s="144">
        <v>0</v>
      </c>
      <c r="H563" s="150">
        <v>0</v>
      </c>
      <c r="I563" s="567">
        <f t="shared" si="15"/>
        <v>0</v>
      </c>
    </row>
    <row r="564" spans="1:9" x14ac:dyDescent="0.15">
      <c r="A564" s="138"/>
      <c r="B564" s="523" t="s">
        <v>1581</v>
      </c>
      <c r="C564" s="524" t="s">
        <v>124</v>
      </c>
      <c r="D564" s="144">
        <v>0</v>
      </c>
      <c r="E564" s="144">
        <v>0</v>
      </c>
      <c r="F564" s="144">
        <v>0</v>
      </c>
      <c r="G564" s="144">
        <v>0</v>
      </c>
      <c r="H564" s="150">
        <v>0</v>
      </c>
      <c r="I564" s="567">
        <f t="shared" si="15"/>
        <v>0</v>
      </c>
    </row>
    <row r="565" spans="1:9" x14ac:dyDescent="0.15">
      <c r="A565" s="138"/>
      <c r="B565" s="523" t="s">
        <v>127</v>
      </c>
      <c r="C565" s="524" t="s">
        <v>134</v>
      </c>
      <c r="D565" s="144">
        <v>0</v>
      </c>
      <c r="E565" s="144">
        <v>0</v>
      </c>
      <c r="F565" s="144">
        <v>0</v>
      </c>
      <c r="G565" s="144">
        <v>0</v>
      </c>
      <c r="H565" s="150">
        <v>0</v>
      </c>
      <c r="I565" s="567">
        <f t="shared" si="15"/>
        <v>0</v>
      </c>
    </row>
    <row r="566" spans="1:9" x14ac:dyDescent="0.15">
      <c r="A566" s="138"/>
      <c r="B566" s="523" t="s">
        <v>128</v>
      </c>
      <c r="C566" s="524" t="s">
        <v>135</v>
      </c>
      <c r="D566" s="144">
        <v>0</v>
      </c>
      <c r="E566" s="144">
        <v>0</v>
      </c>
      <c r="F566" s="144">
        <v>0</v>
      </c>
      <c r="G566" s="144">
        <v>0</v>
      </c>
      <c r="H566" s="150">
        <v>0</v>
      </c>
      <c r="I566" s="567">
        <f t="shared" si="15"/>
        <v>0</v>
      </c>
    </row>
    <row r="567" spans="1:9" x14ac:dyDescent="0.15">
      <c r="A567" s="138"/>
      <c r="B567" s="523" t="s">
        <v>132</v>
      </c>
      <c r="C567" s="524" t="s">
        <v>1617</v>
      </c>
      <c r="D567" s="144">
        <v>0</v>
      </c>
      <c r="E567" s="144">
        <v>0</v>
      </c>
      <c r="F567" s="144">
        <v>0</v>
      </c>
      <c r="G567" s="144">
        <v>0</v>
      </c>
      <c r="H567" s="150">
        <v>0</v>
      </c>
      <c r="I567" s="567">
        <f t="shared" si="15"/>
        <v>0</v>
      </c>
    </row>
    <row r="568" spans="1:9" x14ac:dyDescent="0.15">
      <c r="A568" s="138"/>
      <c r="B568" s="523" t="s">
        <v>1618</v>
      </c>
      <c r="C568" s="524" t="s">
        <v>836</v>
      </c>
      <c r="D568" s="144">
        <v>0</v>
      </c>
      <c r="E568" s="144">
        <v>0</v>
      </c>
      <c r="F568" s="144">
        <v>0</v>
      </c>
      <c r="G568" s="144">
        <v>0</v>
      </c>
      <c r="H568" s="150">
        <v>0</v>
      </c>
      <c r="I568" s="567">
        <f t="shared" si="15"/>
        <v>0</v>
      </c>
    </row>
    <row r="569" spans="1:9" x14ac:dyDescent="0.15">
      <c r="A569" s="138"/>
      <c r="B569" s="523" t="s">
        <v>1619</v>
      </c>
      <c r="C569" s="524" t="s">
        <v>837</v>
      </c>
      <c r="D569" s="144">
        <v>0</v>
      </c>
      <c r="E569" s="144">
        <v>0</v>
      </c>
      <c r="F569" s="144">
        <v>0</v>
      </c>
      <c r="G569" s="144">
        <v>0</v>
      </c>
      <c r="H569" s="150">
        <v>0</v>
      </c>
      <c r="I569" s="567">
        <f t="shared" si="15"/>
        <v>0</v>
      </c>
    </row>
    <row r="570" spans="1:9" x14ac:dyDescent="0.15">
      <c r="A570" s="138"/>
      <c r="B570" s="523" t="s">
        <v>1620</v>
      </c>
      <c r="C570" s="524" t="s">
        <v>838</v>
      </c>
      <c r="D570" s="144">
        <v>0</v>
      </c>
      <c r="E570" s="144">
        <v>0</v>
      </c>
      <c r="F570" s="144">
        <v>0</v>
      </c>
      <c r="G570" s="144">
        <v>0</v>
      </c>
      <c r="H570" s="150">
        <v>0</v>
      </c>
      <c r="I570" s="567">
        <f t="shared" si="15"/>
        <v>0</v>
      </c>
    </row>
    <row r="571" spans="1:9" x14ac:dyDescent="0.15">
      <c r="A571" s="138"/>
      <c r="B571" s="523" t="s">
        <v>1621</v>
      </c>
      <c r="C571" s="524" t="s">
        <v>839</v>
      </c>
      <c r="D571" s="144">
        <v>0</v>
      </c>
      <c r="E571" s="144">
        <v>0</v>
      </c>
      <c r="F571" s="144">
        <v>0</v>
      </c>
      <c r="G571" s="144">
        <v>0</v>
      </c>
      <c r="H571" s="150">
        <v>0</v>
      </c>
      <c r="I571" s="567">
        <f t="shared" si="15"/>
        <v>0</v>
      </c>
    </row>
    <row r="572" spans="1:9" x14ac:dyDescent="0.15">
      <c r="A572" s="138"/>
      <c r="B572" s="523" t="s">
        <v>1622</v>
      </c>
      <c r="C572" s="524" t="s">
        <v>190</v>
      </c>
      <c r="D572" s="144">
        <v>0</v>
      </c>
      <c r="E572" s="144">
        <v>0</v>
      </c>
      <c r="F572" s="144">
        <v>0</v>
      </c>
      <c r="G572" s="144">
        <v>0</v>
      </c>
      <c r="H572" s="150">
        <v>0</v>
      </c>
      <c r="I572" s="567">
        <f t="shared" si="15"/>
        <v>0</v>
      </c>
    </row>
    <row r="573" spans="1:9" x14ac:dyDescent="0.15">
      <c r="A573" s="138"/>
      <c r="B573" s="523" t="s">
        <v>1623</v>
      </c>
      <c r="C573" s="524" t="s">
        <v>191</v>
      </c>
      <c r="D573" s="144">
        <v>0</v>
      </c>
      <c r="E573" s="144">
        <v>0</v>
      </c>
      <c r="F573" s="144">
        <v>0</v>
      </c>
      <c r="G573" s="144">
        <v>0</v>
      </c>
      <c r="H573" s="150">
        <v>0</v>
      </c>
      <c r="I573" s="567">
        <f t="shared" si="15"/>
        <v>0</v>
      </c>
    </row>
    <row r="574" spans="1:9" x14ac:dyDescent="0.15">
      <c r="A574" s="138"/>
      <c r="B574" s="523" t="s">
        <v>1624</v>
      </c>
      <c r="C574" s="524" t="s">
        <v>840</v>
      </c>
      <c r="D574" s="144">
        <v>0</v>
      </c>
      <c r="E574" s="144">
        <v>0</v>
      </c>
      <c r="F574" s="144">
        <v>0</v>
      </c>
      <c r="G574" s="144">
        <v>0</v>
      </c>
      <c r="H574" s="150">
        <v>0</v>
      </c>
      <c r="I574" s="567">
        <f t="shared" si="15"/>
        <v>0</v>
      </c>
    </row>
    <row r="575" spans="1:9" x14ac:dyDescent="0.15">
      <c r="A575" s="138"/>
      <c r="B575" s="523" t="s">
        <v>1625</v>
      </c>
      <c r="C575" s="524" t="s">
        <v>842</v>
      </c>
      <c r="D575" s="144">
        <v>0</v>
      </c>
      <c r="E575" s="144">
        <v>0</v>
      </c>
      <c r="F575" s="144">
        <v>0</v>
      </c>
      <c r="G575" s="144">
        <v>0</v>
      </c>
      <c r="H575" s="150">
        <v>0</v>
      </c>
      <c r="I575" s="567">
        <f t="shared" si="15"/>
        <v>0</v>
      </c>
    </row>
    <row r="576" spans="1:9" x14ac:dyDescent="0.15">
      <c r="A576" s="138"/>
      <c r="B576" s="523" t="s">
        <v>843</v>
      </c>
      <c r="C576" s="524" t="s">
        <v>848</v>
      </c>
      <c r="D576" s="144">
        <v>0</v>
      </c>
      <c r="E576" s="144">
        <v>0</v>
      </c>
      <c r="F576" s="144">
        <v>0</v>
      </c>
      <c r="G576" s="144">
        <v>0</v>
      </c>
      <c r="H576" s="150">
        <v>0</v>
      </c>
      <c r="I576" s="567">
        <f t="shared" si="15"/>
        <v>0</v>
      </c>
    </row>
    <row r="577" spans="1:9" x14ac:dyDescent="0.15">
      <c r="A577" s="138"/>
      <c r="B577" s="523" t="s">
        <v>844</v>
      </c>
      <c r="C577" s="524" t="s">
        <v>153</v>
      </c>
      <c r="D577" s="144">
        <v>0</v>
      </c>
      <c r="E577" s="144">
        <v>0</v>
      </c>
      <c r="F577" s="144">
        <v>0</v>
      </c>
      <c r="G577" s="144">
        <v>0</v>
      </c>
      <c r="H577" s="150">
        <v>0</v>
      </c>
      <c r="I577" s="567">
        <f t="shared" si="15"/>
        <v>0</v>
      </c>
    </row>
    <row r="578" spans="1:9" x14ac:dyDescent="0.15">
      <c r="A578" s="138"/>
      <c r="B578" s="523" t="s">
        <v>845</v>
      </c>
      <c r="C578" s="524" t="s">
        <v>154</v>
      </c>
      <c r="D578" s="144">
        <v>0</v>
      </c>
      <c r="E578" s="144">
        <v>0</v>
      </c>
      <c r="F578" s="144">
        <v>0</v>
      </c>
      <c r="G578" s="144">
        <v>0</v>
      </c>
      <c r="H578" s="150">
        <v>0</v>
      </c>
      <c r="I578" s="567">
        <f t="shared" si="15"/>
        <v>0</v>
      </c>
    </row>
    <row r="579" spans="1:9" x14ac:dyDescent="0.15">
      <c r="A579" s="138"/>
      <c r="B579" s="523" t="s">
        <v>846</v>
      </c>
      <c r="C579" s="524" t="s">
        <v>155</v>
      </c>
      <c r="D579" s="144">
        <v>0</v>
      </c>
      <c r="E579" s="144">
        <v>0</v>
      </c>
      <c r="F579" s="144">
        <v>0</v>
      </c>
      <c r="G579" s="144">
        <v>0</v>
      </c>
      <c r="H579" s="150">
        <v>0</v>
      </c>
      <c r="I579" s="567">
        <f t="shared" si="15"/>
        <v>0</v>
      </c>
    </row>
    <row r="580" spans="1:9" x14ac:dyDescent="0.15">
      <c r="A580" s="138"/>
      <c r="B580" s="523" t="s">
        <v>1582</v>
      </c>
      <c r="C580" s="524" t="s">
        <v>156</v>
      </c>
      <c r="D580" s="144">
        <v>0</v>
      </c>
      <c r="E580" s="144">
        <v>0</v>
      </c>
      <c r="F580" s="144">
        <v>0</v>
      </c>
      <c r="G580" s="144">
        <v>0</v>
      </c>
      <c r="H580" s="150">
        <v>0</v>
      </c>
      <c r="I580" s="567">
        <f t="shared" si="15"/>
        <v>0</v>
      </c>
    </row>
    <row r="581" spans="1:9" x14ac:dyDescent="0.15">
      <c r="A581" s="138"/>
      <c r="B581" s="523" t="s">
        <v>847</v>
      </c>
      <c r="C581" s="524" t="s">
        <v>157</v>
      </c>
      <c r="D581" s="144">
        <v>0</v>
      </c>
      <c r="E581" s="144">
        <v>0</v>
      </c>
      <c r="F581" s="144">
        <v>0</v>
      </c>
      <c r="G581" s="144">
        <v>0</v>
      </c>
      <c r="H581" s="150">
        <v>0</v>
      </c>
      <c r="I581" s="567">
        <f t="shared" si="15"/>
        <v>0</v>
      </c>
    </row>
    <row r="582" spans="1:9" x14ac:dyDescent="0.15">
      <c r="A582" s="138"/>
      <c r="B582" s="523" t="s">
        <v>1583</v>
      </c>
      <c r="C582" s="524" t="s">
        <v>160</v>
      </c>
      <c r="D582" s="144">
        <v>0</v>
      </c>
      <c r="E582" s="144">
        <v>0</v>
      </c>
      <c r="F582" s="144">
        <v>0</v>
      </c>
      <c r="G582" s="144">
        <v>0</v>
      </c>
      <c r="H582" s="150">
        <v>0</v>
      </c>
      <c r="I582" s="567">
        <f t="shared" si="15"/>
        <v>0</v>
      </c>
    </row>
    <row r="583" spans="1:9" x14ac:dyDescent="0.15">
      <c r="A583" s="138"/>
      <c r="B583" s="523" t="s">
        <v>634</v>
      </c>
      <c r="C583" s="524" t="s">
        <v>165</v>
      </c>
      <c r="D583" s="144">
        <v>0</v>
      </c>
      <c r="E583" s="144">
        <v>0</v>
      </c>
      <c r="F583" s="144">
        <v>0</v>
      </c>
      <c r="G583" s="144">
        <v>0</v>
      </c>
      <c r="H583" s="150">
        <v>0</v>
      </c>
      <c r="I583" s="567">
        <f t="shared" si="15"/>
        <v>0</v>
      </c>
    </row>
    <row r="584" spans="1:9" x14ac:dyDescent="0.15">
      <c r="A584" s="138"/>
      <c r="B584" s="523" t="s">
        <v>630</v>
      </c>
      <c r="C584" s="524" t="s">
        <v>172</v>
      </c>
      <c r="D584" s="144">
        <v>0</v>
      </c>
      <c r="E584" s="144">
        <v>0</v>
      </c>
      <c r="F584" s="144">
        <v>0</v>
      </c>
      <c r="G584" s="144">
        <v>0</v>
      </c>
      <c r="H584" s="150">
        <v>0</v>
      </c>
      <c r="I584" s="567">
        <f t="shared" si="15"/>
        <v>0</v>
      </c>
    </row>
    <row r="585" spans="1:9" x14ac:dyDescent="0.15">
      <c r="A585" s="138"/>
      <c r="B585" s="650" t="s">
        <v>631</v>
      </c>
      <c r="C585" s="651" t="s">
        <v>173</v>
      </c>
      <c r="D585" s="144">
        <v>0</v>
      </c>
      <c r="E585" s="144">
        <v>0</v>
      </c>
      <c r="F585" s="144">
        <v>0</v>
      </c>
      <c r="G585" s="144">
        <v>0</v>
      </c>
      <c r="H585" s="150">
        <v>0</v>
      </c>
      <c r="I585" s="567">
        <f t="shared" si="15"/>
        <v>0</v>
      </c>
    </row>
    <row r="586" spans="1:9" x14ac:dyDescent="0.15">
      <c r="A586" s="138"/>
      <c r="B586" s="523" t="s">
        <v>1584</v>
      </c>
      <c r="C586" s="524" t="s">
        <v>178</v>
      </c>
      <c r="D586" s="144">
        <v>0</v>
      </c>
      <c r="E586" s="144">
        <v>0</v>
      </c>
      <c r="F586" s="144">
        <v>0</v>
      </c>
      <c r="G586" s="144">
        <v>0</v>
      </c>
      <c r="H586" s="150">
        <v>0</v>
      </c>
      <c r="I586" s="567">
        <f t="shared" si="15"/>
        <v>0</v>
      </c>
    </row>
    <row r="587" spans="1:9" x14ac:dyDescent="0.15">
      <c r="A587" s="138"/>
      <c r="B587" s="523" t="s">
        <v>174</v>
      </c>
      <c r="C587" s="524" t="s">
        <v>179</v>
      </c>
      <c r="D587" s="144">
        <v>0</v>
      </c>
      <c r="E587" s="144">
        <v>0</v>
      </c>
      <c r="F587" s="144">
        <v>0</v>
      </c>
      <c r="G587" s="144">
        <v>0</v>
      </c>
      <c r="H587" s="150">
        <v>0</v>
      </c>
      <c r="I587" s="567">
        <f t="shared" si="15"/>
        <v>0</v>
      </c>
    </row>
    <row r="588" spans="1:9" x14ac:dyDescent="0.15">
      <c r="A588" s="138"/>
      <c r="B588" s="523" t="s">
        <v>175</v>
      </c>
      <c r="C588" s="524" t="s">
        <v>180</v>
      </c>
      <c r="D588" s="144">
        <v>0</v>
      </c>
      <c r="E588" s="144">
        <v>0</v>
      </c>
      <c r="F588" s="144">
        <v>0</v>
      </c>
      <c r="G588" s="144">
        <v>0</v>
      </c>
      <c r="H588" s="150">
        <v>0</v>
      </c>
      <c r="I588" s="567">
        <f t="shared" si="15"/>
        <v>0</v>
      </c>
    </row>
    <row r="589" spans="1:9" ht="11.25" thickBot="1" x14ac:dyDescent="0.2">
      <c r="A589" s="138"/>
      <c r="B589" s="523" t="s">
        <v>176</v>
      </c>
      <c r="C589" s="524" t="s">
        <v>181</v>
      </c>
      <c r="D589" s="144">
        <v>0</v>
      </c>
      <c r="E589" s="144">
        <v>0</v>
      </c>
      <c r="F589" s="144">
        <v>0</v>
      </c>
      <c r="G589" s="144">
        <v>0</v>
      </c>
      <c r="H589" s="150">
        <v>0</v>
      </c>
      <c r="I589" s="567">
        <f t="shared" si="15"/>
        <v>0</v>
      </c>
    </row>
    <row r="590" spans="1:9" ht="12" thickTop="1" thickBot="1" x14ac:dyDescent="0.2">
      <c r="A590" s="138"/>
      <c r="B590" s="523"/>
      <c r="C590" s="524" t="s">
        <v>140</v>
      </c>
      <c r="D590" s="169">
        <f>SUM(D556:D589)</f>
        <v>0</v>
      </c>
      <c r="E590" s="169">
        <f>SUM(E556:E589)</f>
        <v>0</v>
      </c>
      <c r="F590" s="169">
        <f>SUM(F556:F589)</f>
        <v>0</v>
      </c>
      <c r="G590" s="169">
        <f>SUM(G556:G589)</f>
        <v>0</v>
      </c>
      <c r="H590" s="169">
        <f>SUM(H556:H589)</f>
        <v>0</v>
      </c>
      <c r="I590" s="169">
        <f t="shared" si="15"/>
        <v>0</v>
      </c>
    </row>
    <row r="591" spans="1:9" ht="11.25" thickTop="1" x14ac:dyDescent="0.15">
      <c r="A591" s="138"/>
      <c r="B591" s="524"/>
      <c r="C591" s="524"/>
      <c r="D591" s="14"/>
      <c r="E591" s="14"/>
      <c r="F591" s="14"/>
      <c r="G591" s="14"/>
      <c r="H591" s="14"/>
      <c r="I591" s="563"/>
    </row>
    <row r="592" spans="1:9" x14ac:dyDescent="0.15">
      <c r="A592" s="522" t="s">
        <v>141</v>
      </c>
      <c r="B592" s="524"/>
      <c r="C592" s="524"/>
      <c r="D592" s="14"/>
      <c r="E592" s="14"/>
      <c r="F592" s="14"/>
      <c r="G592" s="14"/>
      <c r="H592" s="14"/>
      <c r="I592" s="563"/>
    </row>
    <row r="593" spans="1:9" x14ac:dyDescent="0.15">
      <c r="A593" s="434"/>
      <c r="B593" s="523" t="s">
        <v>1577</v>
      </c>
      <c r="C593" s="524" t="s">
        <v>228</v>
      </c>
      <c r="D593" s="316">
        <v>0</v>
      </c>
      <c r="E593" s="316">
        <v>0</v>
      </c>
      <c r="F593" s="316">
        <v>0</v>
      </c>
      <c r="G593" s="528">
        <f t="array" ref="G593">SUM(IF(CertFund&amp;CertProg&amp;CertObj=RIGHT(LEFT($A$2,7),2)&amp;LEFT(A592,4)&amp;B593,CertSalary))</f>
        <v>0</v>
      </c>
      <c r="H593" s="527">
        <v>0</v>
      </c>
      <c r="I593" s="566">
        <f>SUM(G593+H593)</f>
        <v>0</v>
      </c>
    </row>
    <row r="594" spans="1:9" x14ac:dyDescent="0.15">
      <c r="A594" s="434"/>
      <c r="B594" s="523" t="s">
        <v>1577</v>
      </c>
      <c r="C594" s="524" t="s">
        <v>510</v>
      </c>
      <c r="D594" s="316">
        <v>0</v>
      </c>
      <c r="E594" s="316">
        <v>0</v>
      </c>
      <c r="F594" s="316">
        <v>0</v>
      </c>
      <c r="G594" s="316">
        <v>0</v>
      </c>
      <c r="H594" s="527">
        <v>0</v>
      </c>
      <c r="I594" s="566">
        <f>SUM(G594+H594)</f>
        <v>0</v>
      </c>
    </row>
    <row r="595" spans="1:9" x14ac:dyDescent="0.15">
      <c r="A595" s="524"/>
      <c r="B595" s="523" t="s">
        <v>1578</v>
      </c>
      <c r="C595" s="524" t="s">
        <v>936</v>
      </c>
      <c r="D595" s="316">
        <v>0</v>
      </c>
      <c r="E595" s="316">
        <v>0</v>
      </c>
      <c r="F595" s="316">
        <v>0</v>
      </c>
      <c r="G595" s="529">
        <f t="array" ref="G595">SUM(IF(CertFund&amp;CertProg&amp;CertObj=RIGHT(LEFT($A$2,7),2)&amp;LEFT(A592,4)&amp;B593,CertBen))</f>
        <v>0</v>
      </c>
      <c r="H595" s="527">
        <v>0</v>
      </c>
      <c r="I595" s="566">
        <f>SUM(G595+H595)</f>
        <v>0</v>
      </c>
    </row>
    <row r="596" spans="1:9" x14ac:dyDescent="0.15">
      <c r="A596" s="524"/>
      <c r="B596" s="523" t="s">
        <v>1578</v>
      </c>
      <c r="C596" s="524" t="s">
        <v>511</v>
      </c>
      <c r="D596" s="316">
        <v>0</v>
      </c>
      <c r="E596" s="316">
        <v>0</v>
      </c>
      <c r="F596" s="316">
        <v>0</v>
      </c>
      <c r="G596" s="316">
        <v>0</v>
      </c>
      <c r="H596" s="527">
        <v>0</v>
      </c>
      <c r="I596" s="566">
        <f>SUM(G596+H596)</f>
        <v>0</v>
      </c>
    </row>
    <row r="597" spans="1:9" x14ac:dyDescent="0.15">
      <c r="A597" s="138"/>
      <c r="B597" s="523" t="s">
        <v>1579</v>
      </c>
      <c r="C597" s="524" t="s">
        <v>118</v>
      </c>
      <c r="D597" s="144">
        <v>0</v>
      </c>
      <c r="E597" s="144">
        <v>0</v>
      </c>
      <c r="F597" s="144">
        <v>0</v>
      </c>
      <c r="G597" s="291">
        <v>0</v>
      </c>
      <c r="H597" s="150">
        <v>0</v>
      </c>
      <c r="I597" s="567">
        <f t="shared" ref="I597:I627" si="16">SUM(G597+H597)</f>
        <v>0</v>
      </c>
    </row>
    <row r="598" spans="1:9" x14ac:dyDescent="0.15">
      <c r="A598" s="138"/>
      <c r="B598" s="523" t="s">
        <v>1580</v>
      </c>
      <c r="C598" s="524" t="s">
        <v>119</v>
      </c>
      <c r="D598" s="144">
        <v>0</v>
      </c>
      <c r="E598" s="144">
        <v>0</v>
      </c>
      <c r="F598" s="144">
        <v>0</v>
      </c>
      <c r="G598" s="291">
        <v>0</v>
      </c>
      <c r="H598" s="150">
        <v>0</v>
      </c>
      <c r="I598" s="567">
        <f t="shared" si="16"/>
        <v>0</v>
      </c>
    </row>
    <row r="599" spans="1:9" x14ac:dyDescent="0.15">
      <c r="A599" s="138"/>
      <c r="B599" s="523" t="s">
        <v>120</v>
      </c>
      <c r="C599" s="524" t="s">
        <v>121</v>
      </c>
      <c r="D599" s="144">
        <v>0</v>
      </c>
      <c r="E599" s="144">
        <v>0</v>
      </c>
      <c r="F599" s="144">
        <v>0</v>
      </c>
      <c r="G599" s="291">
        <v>0</v>
      </c>
      <c r="H599" s="150">
        <v>0</v>
      </c>
      <c r="I599" s="567">
        <f t="shared" si="16"/>
        <v>0</v>
      </c>
    </row>
    <row r="600" spans="1:9" x14ac:dyDescent="0.15">
      <c r="A600" s="138"/>
      <c r="B600" s="523" t="s">
        <v>122</v>
      </c>
      <c r="C600" s="524" t="s">
        <v>123</v>
      </c>
      <c r="D600" s="144">
        <v>0</v>
      </c>
      <c r="E600" s="144">
        <v>0</v>
      </c>
      <c r="F600" s="144">
        <v>0</v>
      </c>
      <c r="G600" s="291">
        <v>0</v>
      </c>
      <c r="H600" s="150">
        <v>0</v>
      </c>
      <c r="I600" s="567">
        <f t="shared" si="16"/>
        <v>0</v>
      </c>
    </row>
    <row r="601" spans="1:9" x14ac:dyDescent="0.15">
      <c r="A601" s="138"/>
      <c r="B601" s="523" t="s">
        <v>1581</v>
      </c>
      <c r="C601" s="524" t="s">
        <v>124</v>
      </c>
      <c r="D601" s="144">
        <v>0</v>
      </c>
      <c r="E601" s="144">
        <v>0</v>
      </c>
      <c r="F601" s="144">
        <v>0</v>
      </c>
      <c r="G601" s="291">
        <v>0</v>
      </c>
      <c r="H601" s="150">
        <v>0</v>
      </c>
      <c r="I601" s="567">
        <f t="shared" si="16"/>
        <v>0</v>
      </c>
    </row>
    <row r="602" spans="1:9" x14ac:dyDescent="0.15">
      <c r="A602" s="138"/>
      <c r="B602" s="523" t="s">
        <v>127</v>
      </c>
      <c r="C602" s="524" t="s">
        <v>134</v>
      </c>
      <c r="D602" s="144">
        <v>0</v>
      </c>
      <c r="E602" s="144">
        <v>0</v>
      </c>
      <c r="F602" s="144">
        <v>0</v>
      </c>
      <c r="G602" s="291">
        <v>0</v>
      </c>
      <c r="H602" s="150">
        <v>0</v>
      </c>
      <c r="I602" s="567">
        <f t="shared" si="16"/>
        <v>0</v>
      </c>
    </row>
    <row r="603" spans="1:9" x14ac:dyDescent="0.15">
      <c r="A603" s="138"/>
      <c r="B603" s="523" t="s">
        <v>128</v>
      </c>
      <c r="C603" s="524" t="s">
        <v>135</v>
      </c>
      <c r="D603" s="144">
        <v>0</v>
      </c>
      <c r="E603" s="144">
        <v>0</v>
      </c>
      <c r="F603" s="144">
        <v>0</v>
      </c>
      <c r="G603" s="291">
        <v>0</v>
      </c>
      <c r="H603" s="150">
        <v>0</v>
      </c>
      <c r="I603" s="567">
        <f t="shared" si="16"/>
        <v>0</v>
      </c>
    </row>
    <row r="604" spans="1:9" x14ac:dyDescent="0.15">
      <c r="A604" s="138"/>
      <c r="B604" s="523" t="s">
        <v>132</v>
      </c>
      <c r="C604" s="524" t="s">
        <v>1617</v>
      </c>
      <c r="D604" s="144">
        <v>0</v>
      </c>
      <c r="E604" s="144">
        <v>0</v>
      </c>
      <c r="F604" s="144">
        <v>0</v>
      </c>
      <c r="G604" s="291">
        <v>0</v>
      </c>
      <c r="H604" s="150">
        <v>0</v>
      </c>
      <c r="I604" s="567">
        <f t="shared" si="16"/>
        <v>0</v>
      </c>
    </row>
    <row r="605" spans="1:9" x14ac:dyDescent="0.15">
      <c r="A605" s="138"/>
      <c r="B605" s="523" t="s">
        <v>1618</v>
      </c>
      <c r="C605" s="524" t="s">
        <v>836</v>
      </c>
      <c r="D605" s="144">
        <v>0</v>
      </c>
      <c r="E605" s="144">
        <v>0</v>
      </c>
      <c r="F605" s="144">
        <v>0</v>
      </c>
      <c r="G605" s="291">
        <v>0</v>
      </c>
      <c r="H605" s="150">
        <v>0</v>
      </c>
      <c r="I605" s="567">
        <f t="shared" si="16"/>
        <v>0</v>
      </c>
    </row>
    <row r="606" spans="1:9" x14ac:dyDescent="0.15">
      <c r="A606" s="138"/>
      <c r="B606" s="523" t="s">
        <v>1619</v>
      </c>
      <c r="C606" s="524" t="s">
        <v>837</v>
      </c>
      <c r="D606" s="144">
        <v>0</v>
      </c>
      <c r="E606" s="144">
        <v>0</v>
      </c>
      <c r="F606" s="144">
        <v>0</v>
      </c>
      <c r="G606" s="291">
        <v>0</v>
      </c>
      <c r="H606" s="150">
        <v>0</v>
      </c>
      <c r="I606" s="567">
        <f t="shared" si="16"/>
        <v>0</v>
      </c>
    </row>
    <row r="607" spans="1:9" x14ac:dyDescent="0.15">
      <c r="A607" s="138"/>
      <c r="B607" s="523" t="s">
        <v>1620</v>
      </c>
      <c r="C607" s="524" t="s">
        <v>838</v>
      </c>
      <c r="D607" s="144">
        <v>0</v>
      </c>
      <c r="E607" s="144">
        <v>0</v>
      </c>
      <c r="F607" s="144">
        <v>0</v>
      </c>
      <c r="G607" s="291">
        <v>0</v>
      </c>
      <c r="H607" s="150">
        <v>0</v>
      </c>
      <c r="I607" s="567">
        <f t="shared" si="16"/>
        <v>0</v>
      </c>
    </row>
    <row r="608" spans="1:9" x14ac:dyDescent="0.15">
      <c r="A608" s="138"/>
      <c r="B608" s="523" t="s">
        <v>1621</v>
      </c>
      <c r="C608" s="524" t="s">
        <v>839</v>
      </c>
      <c r="D608" s="144">
        <v>0</v>
      </c>
      <c r="E608" s="144">
        <v>0</v>
      </c>
      <c r="F608" s="144">
        <v>0</v>
      </c>
      <c r="G608" s="291">
        <v>0</v>
      </c>
      <c r="H608" s="150">
        <v>0</v>
      </c>
      <c r="I608" s="567">
        <f t="shared" si="16"/>
        <v>0</v>
      </c>
    </row>
    <row r="609" spans="1:9" x14ac:dyDescent="0.15">
      <c r="A609" s="138"/>
      <c r="B609" s="523" t="s">
        <v>1622</v>
      </c>
      <c r="C609" s="524" t="s">
        <v>190</v>
      </c>
      <c r="D609" s="144">
        <v>0</v>
      </c>
      <c r="E609" s="144">
        <v>0</v>
      </c>
      <c r="F609" s="144">
        <v>0</v>
      </c>
      <c r="G609" s="291">
        <v>0</v>
      </c>
      <c r="H609" s="150">
        <v>0</v>
      </c>
      <c r="I609" s="567">
        <f t="shared" si="16"/>
        <v>0</v>
      </c>
    </row>
    <row r="610" spans="1:9" x14ac:dyDescent="0.15">
      <c r="A610" s="138"/>
      <c r="B610" s="523" t="s">
        <v>1623</v>
      </c>
      <c r="C610" s="524" t="s">
        <v>191</v>
      </c>
      <c r="D610" s="144">
        <v>0</v>
      </c>
      <c r="E610" s="144">
        <v>0</v>
      </c>
      <c r="F610" s="144">
        <v>0</v>
      </c>
      <c r="G610" s="291">
        <v>0</v>
      </c>
      <c r="H610" s="150">
        <v>0</v>
      </c>
      <c r="I610" s="567">
        <f t="shared" si="16"/>
        <v>0</v>
      </c>
    </row>
    <row r="611" spans="1:9" x14ac:dyDescent="0.15">
      <c r="A611" s="138"/>
      <c r="B611" s="523" t="s">
        <v>1624</v>
      </c>
      <c r="C611" s="524" t="s">
        <v>840</v>
      </c>
      <c r="D611" s="144">
        <v>0</v>
      </c>
      <c r="E611" s="144">
        <v>0</v>
      </c>
      <c r="F611" s="144">
        <v>0</v>
      </c>
      <c r="G611" s="291">
        <v>0</v>
      </c>
      <c r="H611" s="150">
        <v>0</v>
      </c>
      <c r="I611" s="567">
        <f t="shared" si="16"/>
        <v>0</v>
      </c>
    </row>
    <row r="612" spans="1:9" x14ac:dyDescent="0.15">
      <c r="A612" s="138"/>
      <c r="B612" s="523" t="s">
        <v>1625</v>
      </c>
      <c r="C612" s="524" t="s">
        <v>842</v>
      </c>
      <c r="D612" s="144">
        <v>0</v>
      </c>
      <c r="E612" s="144">
        <v>0</v>
      </c>
      <c r="F612" s="144">
        <v>0</v>
      </c>
      <c r="G612" s="291">
        <v>0</v>
      </c>
      <c r="H612" s="150">
        <v>0</v>
      </c>
      <c r="I612" s="567">
        <f t="shared" si="16"/>
        <v>0</v>
      </c>
    </row>
    <row r="613" spans="1:9" x14ac:dyDescent="0.15">
      <c r="A613" s="138"/>
      <c r="B613" s="523" t="s">
        <v>843</v>
      </c>
      <c r="C613" s="524" t="s">
        <v>848</v>
      </c>
      <c r="D613" s="144">
        <v>0</v>
      </c>
      <c r="E613" s="144">
        <v>0</v>
      </c>
      <c r="F613" s="144">
        <v>0</v>
      </c>
      <c r="G613" s="291">
        <v>0</v>
      </c>
      <c r="H613" s="150">
        <v>0</v>
      </c>
      <c r="I613" s="567">
        <f t="shared" si="16"/>
        <v>0</v>
      </c>
    </row>
    <row r="614" spans="1:9" x14ac:dyDescent="0.15">
      <c r="A614" s="138"/>
      <c r="B614" s="523" t="s">
        <v>844</v>
      </c>
      <c r="C614" s="524" t="s">
        <v>153</v>
      </c>
      <c r="D614" s="144">
        <v>0</v>
      </c>
      <c r="E614" s="144">
        <v>0</v>
      </c>
      <c r="F614" s="144">
        <v>0</v>
      </c>
      <c r="G614" s="291">
        <v>0</v>
      </c>
      <c r="H614" s="150">
        <v>0</v>
      </c>
      <c r="I614" s="567">
        <f t="shared" si="16"/>
        <v>0</v>
      </c>
    </row>
    <row r="615" spans="1:9" x14ac:dyDescent="0.15">
      <c r="A615" s="138"/>
      <c r="B615" s="523" t="s">
        <v>845</v>
      </c>
      <c r="C615" s="524" t="s">
        <v>154</v>
      </c>
      <c r="D615" s="144">
        <v>0</v>
      </c>
      <c r="E615" s="144">
        <v>0</v>
      </c>
      <c r="F615" s="144">
        <v>0</v>
      </c>
      <c r="G615" s="291">
        <v>0</v>
      </c>
      <c r="H615" s="150">
        <v>0</v>
      </c>
      <c r="I615" s="567">
        <f t="shared" si="16"/>
        <v>0</v>
      </c>
    </row>
    <row r="616" spans="1:9" x14ac:dyDescent="0.15">
      <c r="A616" s="138"/>
      <c r="B616" s="523" t="s">
        <v>846</v>
      </c>
      <c r="C616" s="524" t="s">
        <v>155</v>
      </c>
      <c r="D616" s="144">
        <v>0</v>
      </c>
      <c r="E616" s="144">
        <v>0</v>
      </c>
      <c r="F616" s="144">
        <v>0</v>
      </c>
      <c r="G616" s="291">
        <v>0</v>
      </c>
      <c r="H616" s="150">
        <v>0</v>
      </c>
      <c r="I616" s="567">
        <f t="shared" si="16"/>
        <v>0</v>
      </c>
    </row>
    <row r="617" spans="1:9" x14ac:dyDescent="0.15">
      <c r="A617" s="138"/>
      <c r="B617" s="523" t="s">
        <v>1582</v>
      </c>
      <c r="C617" s="524" t="s">
        <v>156</v>
      </c>
      <c r="D617" s="144">
        <v>0</v>
      </c>
      <c r="E617" s="144">
        <v>0</v>
      </c>
      <c r="F617" s="144">
        <v>0</v>
      </c>
      <c r="G617" s="291">
        <v>0</v>
      </c>
      <c r="H617" s="150">
        <v>0</v>
      </c>
      <c r="I617" s="567">
        <f t="shared" si="16"/>
        <v>0</v>
      </c>
    </row>
    <row r="618" spans="1:9" x14ac:dyDescent="0.15">
      <c r="A618" s="138"/>
      <c r="B618" s="523" t="s">
        <v>847</v>
      </c>
      <c r="C618" s="524" t="s">
        <v>157</v>
      </c>
      <c r="D618" s="144">
        <v>0</v>
      </c>
      <c r="E618" s="144">
        <v>0</v>
      </c>
      <c r="F618" s="144">
        <v>0</v>
      </c>
      <c r="G618" s="291">
        <v>0</v>
      </c>
      <c r="H618" s="150">
        <v>0</v>
      </c>
      <c r="I618" s="567">
        <f t="shared" si="16"/>
        <v>0</v>
      </c>
    </row>
    <row r="619" spans="1:9" x14ac:dyDescent="0.15">
      <c r="A619" s="138"/>
      <c r="B619" s="523" t="s">
        <v>1583</v>
      </c>
      <c r="C619" s="524" t="s">
        <v>160</v>
      </c>
      <c r="D619" s="144">
        <v>0</v>
      </c>
      <c r="E619" s="144">
        <v>0</v>
      </c>
      <c r="F619" s="144">
        <v>0</v>
      </c>
      <c r="G619" s="291">
        <v>0</v>
      </c>
      <c r="H619" s="150">
        <v>0</v>
      </c>
      <c r="I619" s="567">
        <f t="shared" si="16"/>
        <v>0</v>
      </c>
    </row>
    <row r="620" spans="1:9" x14ac:dyDescent="0.15">
      <c r="A620" s="138"/>
      <c r="B620" s="523" t="s">
        <v>634</v>
      </c>
      <c r="C620" s="524" t="s">
        <v>165</v>
      </c>
      <c r="D620" s="144">
        <v>0</v>
      </c>
      <c r="E620" s="144">
        <v>0</v>
      </c>
      <c r="F620" s="144">
        <v>0</v>
      </c>
      <c r="G620" s="291">
        <v>0</v>
      </c>
      <c r="H620" s="150">
        <v>0</v>
      </c>
      <c r="I620" s="567">
        <f t="shared" si="16"/>
        <v>0</v>
      </c>
    </row>
    <row r="621" spans="1:9" x14ac:dyDescent="0.15">
      <c r="A621" s="138"/>
      <c r="B621" s="523" t="s">
        <v>630</v>
      </c>
      <c r="C621" s="524" t="s">
        <v>172</v>
      </c>
      <c r="D621" s="144">
        <v>0</v>
      </c>
      <c r="E621" s="144">
        <v>0</v>
      </c>
      <c r="F621" s="144">
        <v>0</v>
      </c>
      <c r="G621" s="291">
        <v>0</v>
      </c>
      <c r="H621" s="150">
        <v>0</v>
      </c>
      <c r="I621" s="567">
        <f t="shared" si="16"/>
        <v>0</v>
      </c>
    </row>
    <row r="622" spans="1:9" x14ac:dyDescent="0.15">
      <c r="A622" s="138"/>
      <c r="B622" s="650" t="s">
        <v>631</v>
      </c>
      <c r="C622" s="651" t="s">
        <v>173</v>
      </c>
      <c r="D622" s="144">
        <v>0</v>
      </c>
      <c r="E622" s="144">
        <v>0</v>
      </c>
      <c r="F622" s="144">
        <v>0</v>
      </c>
      <c r="G622" s="291">
        <v>0</v>
      </c>
      <c r="H622" s="150">
        <v>0</v>
      </c>
      <c r="I622" s="567">
        <f t="shared" si="16"/>
        <v>0</v>
      </c>
    </row>
    <row r="623" spans="1:9" x14ac:dyDescent="0.15">
      <c r="A623" s="138"/>
      <c r="B623" s="523" t="s">
        <v>1584</v>
      </c>
      <c r="C623" s="524" t="s">
        <v>178</v>
      </c>
      <c r="D623" s="144">
        <v>0</v>
      </c>
      <c r="E623" s="144">
        <v>0</v>
      </c>
      <c r="F623" s="144">
        <v>0</v>
      </c>
      <c r="G623" s="291">
        <v>0</v>
      </c>
      <c r="H623" s="150">
        <v>0</v>
      </c>
      <c r="I623" s="567">
        <f t="shared" si="16"/>
        <v>0</v>
      </c>
    </row>
    <row r="624" spans="1:9" x14ac:dyDescent="0.15">
      <c r="A624" s="138"/>
      <c r="B624" s="523" t="s">
        <v>174</v>
      </c>
      <c r="C624" s="524" t="s">
        <v>179</v>
      </c>
      <c r="D624" s="144">
        <v>0</v>
      </c>
      <c r="E624" s="144">
        <v>0</v>
      </c>
      <c r="F624" s="144">
        <v>0</v>
      </c>
      <c r="G624" s="291">
        <v>0</v>
      </c>
      <c r="H624" s="150">
        <v>0</v>
      </c>
      <c r="I624" s="567">
        <f t="shared" si="16"/>
        <v>0</v>
      </c>
    </row>
    <row r="625" spans="1:9" x14ac:dyDescent="0.15">
      <c r="A625" s="138"/>
      <c r="B625" s="523" t="s">
        <v>175</v>
      </c>
      <c r="C625" s="524" t="s">
        <v>180</v>
      </c>
      <c r="D625" s="144">
        <v>0</v>
      </c>
      <c r="E625" s="144">
        <v>0</v>
      </c>
      <c r="F625" s="144">
        <v>0</v>
      </c>
      <c r="G625" s="291">
        <v>0</v>
      </c>
      <c r="H625" s="150">
        <v>0</v>
      </c>
      <c r="I625" s="567">
        <f t="shared" si="16"/>
        <v>0</v>
      </c>
    </row>
    <row r="626" spans="1:9" ht="11.25" thickBot="1" x14ac:dyDescent="0.2">
      <c r="A626" s="138"/>
      <c r="B626" s="523" t="s">
        <v>176</v>
      </c>
      <c r="C626" s="524" t="s">
        <v>181</v>
      </c>
      <c r="D626" s="144">
        <v>0</v>
      </c>
      <c r="E626" s="144">
        <v>0</v>
      </c>
      <c r="F626" s="144">
        <v>0</v>
      </c>
      <c r="G626" s="291">
        <v>0</v>
      </c>
      <c r="H626" s="150">
        <v>0</v>
      </c>
      <c r="I626" s="567">
        <f t="shared" si="16"/>
        <v>0</v>
      </c>
    </row>
    <row r="627" spans="1:9" ht="12" thickTop="1" thickBot="1" x14ac:dyDescent="0.2">
      <c r="A627" s="138"/>
      <c r="B627" s="523"/>
      <c r="C627" s="524" t="s">
        <v>142</v>
      </c>
      <c r="D627" s="169">
        <f>SUM(D593:D626)</f>
        <v>0</v>
      </c>
      <c r="E627" s="169">
        <f>SUM(E593:E626)</f>
        <v>0</v>
      </c>
      <c r="F627" s="169">
        <f>SUM(F593:F626)</f>
        <v>0</v>
      </c>
      <c r="G627" s="169">
        <f>SUM(G593:G626)</f>
        <v>0</v>
      </c>
      <c r="H627" s="169">
        <f>SUM(H593:H626)</f>
        <v>0</v>
      </c>
      <c r="I627" s="169">
        <f t="shared" si="16"/>
        <v>0</v>
      </c>
    </row>
    <row r="628" spans="1:9" ht="11.25" thickTop="1" x14ac:dyDescent="0.15">
      <c r="A628" s="138"/>
      <c r="B628" s="524"/>
      <c r="C628" s="524"/>
      <c r="D628" s="14"/>
      <c r="E628" s="14"/>
      <c r="F628" s="14"/>
      <c r="G628" s="14"/>
      <c r="H628" s="14"/>
      <c r="I628" s="563"/>
    </row>
    <row r="629" spans="1:9" x14ac:dyDescent="0.15">
      <c r="A629" s="522" t="s">
        <v>143</v>
      </c>
      <c r="B629" s="524"/>
      <c r="C629" s="524"/>
      <c r="D629" s="14"/>
      <c r="E629" s="14"/>
      <c r="F629" s="14"/>
      <c r="G629" s="14"/>
      <c r="H629" s="14"/>
      <c r="I629" s="563"/>
    </row>
    <row r="630" spans="1:9" x14ac:dyDescent="0.15">
      <c r="A630" s="434"/>
      <c r="B630" s="523" t="s">
        <v>1577</v>
      </c>
      <c r="C630" s="524" t="s">
        <v>228</v>
      </c>
      <c r="D630" s="316">
        <v>0</v>
      </c>
      <c r="E630" s="316">
        <v>0</v>
      </c>
      <c r="F630" s="316">
        <v>0</v>
      </c>
      <c r="G630" s="528">
        <f t="array" ref="G630">SUM(IF(CertFund&amp;CertProg&amp;CertObj=RIGHT(LEFT($A$2,7),2)&amp;LEFT(A629,4)&amp;B630,CertSalary))</f>
        <v>0</v>
      </c>
      <c r="H630" s="527">
        <v>0</v>
      </c>
      <c r="I630" s="566">
        <f>SUM(G630+H630)</f>
        <v>0</v>
      </c>
    </row>
    <row r="631" spans="1:9" x14ac:dyDescent="0.15">
      <c r="A631" s="434"/>
      <c r="B631" s="523" t="s">
        <v>1577</v>
      </c>
      <c r="C631" s="524" t="s">
        <v>510</v>
      </c>
      <c r="D631" s="316">
        <v>0</v>
      </c>
      <c r="E631" s="316">
        <v>0</v>
      </c>
      <c r="F631" s="316">
        <v>0</v>
      </c>
      <c r="G631" s="316">
        <v>0</v>
      </c>
      <c r="H631" s="527">
        <v>0</v>
      </c>
      <c r="I631" s="566">
        <f>SUM(G631+H631)</f>
        <v>0</v>
      </c>
    </row>
    <row r="632" spans="1:9" x14ac:dyDescent="0.15">
      <c r="A632" s="524"/>
      <c r="B632" s="523" t="s">
        <v>1578</v>
      </c>
      <c r="C632" s="524" t="s">
        <v>936</v>
      </c>
      <c r="D632" s="316">
        <v>0</v>
      </c>
      <c r="E632" s="316">
        <v>0</v>
      </c>
      <c r="F632" s="316">
        <v>0</v>
      </c>
      <c r="G632" s="529">
        <f t="array" ref="G632">SUM(IF(CertFund&amp;CertProg&amp;CertObj=RIGHT(LEFT($A$2,7),2)&amp;LEFT(A629,4)&amp;B630,CertBen))</f>
        <v>0</v>
      </c>
      <c r="H632" s="527">
        <v>0</v>
      </c>
      <c r="I632" s="566">
        <f>SUM(G632+H632)</f>
        <v>0</v>
      </c>
    </row>
    <row r="633" spans="1:9" x14ac:dyDescent="0.15">
      <c r="A633" s="138"/>
      <c r="B633" s="521" t="s">
        <v>1578</v>
      </c>
      <c r="C633" s="138" t="s">
        <v>511</v>
      </c>
      <c r="D633" s="147">
        <v>0</v>
      </c>
      <c r="E633" s="147">
        <v>0</v>
      </c>
      <c r="F633" s="147">
        <v>0</v>
      </c>
      <c r="G633" s="147">
        <v>0</v>
      </c>
      <c r="H633" s="150">
        <v>0</v>
      </c>
      <c r="I633" s="567">
        <f>SUM(G633+H633)</f>
        <v>0</v>
      </c>
    </row>
    <row r="634" spans="1:9" x14ac:dyDescent="0.15">
      <c r="A634" s="138"/>
      <c r="B634" s="523" t="s">
        <v>1579</v>
      </c>
      <c r="C634" s="524" t="s">
        <v>118</v>
      </c>
      <c r="D634" s="144">
        <v>0</v>
      </c>
      <c r="E634" s="144">
        <v>0</v>
      </c>
      <c r="F634" s="144">
        <v>0</v>
      </c>
      <c r="G634" s="144">
        <v>0</v>
      </c>
      <c r="H634" s="150">
        <v>0</v>
      </c>
      <c r="I634" s="567">
        <f t="shared" ref="I634:I663" si="17">SUM(G634+H634)</f>
        <v>0</v>
      </c>
    </row>
    <row r="635" spans="1:9" x14ac:dyDescent="0.15">
      <c r="A635" s="138"/>
      <c r="B635" s="523" t="s">
        <v>1580</v>
      </c>
      <c r="C635" s="524" t="s">
        <v>119</v>
      </c>
      <c r="D635" s="144">
        <v>0</v>
      </c>
      <c r="E635" s="144">
        <v>0</v>
      </c>
      <c r="F635" s="144">
        <v>0</v>
      </c>
      <c r="G635" s="144">
        <v>0</v>
      </c>
      <c r="H635" s="150">
        <v>0</v>
      </c>
      <c r="I635" s="567">
        <f t="shared" si="17"/>
        <v>0</v>
      </c>
    </row>
    <row r="636" spans="1:9" x14ac:dyDescent="0.15">
      <c r="A636" s="138"/>
      <c r="B636" s="523" t="s">
        <v>120</v>
      </c>
      <c r="C636" s="524" t="s">
        <v>121</v>
      </c>
      <c r="D636" s="144">
        <v>0</v>
      </c>
      <c r="E636" s="144">
        <v>0</v>
      </c>
      <c r="F636" s="144">
        <v>0</v>
      </c>
      <c r="G636" s="144">
        <v>0</v>
      </c>
      <c r="H636" s="150">
        <v>0</v>
      </c>
      <c r="I636" s="567">
        <f t="shared" si="17"/>
        <v>0</v>
      </c>
    </row>
    <row r="637" spans="1:9" x14ac:dyDescent="0.15">
      <c r="A637" s="138"/>
      <c r="B637" s="523" t="s">
        <v>122</v>
      </c>
      <c r="C637" s="524" t="s">
        <v>123</v>
      </c>
      <c r="D637" s="144">
        <v>0</v>
      </c>
      <c r="E637" s="144">
        <v>0</v>
      </c>
      <c r="F637" s="144">
        <v>0</v>
      </c>
      <c r="G637" s="144">
        <v>0</v>
      </c>
      <c r="H637" s="150">
        <v>0</v>
      </c>
      <c r="I637" s="567">
        <f t="shared" si="17"/>
        <v>0</v>
      </c>
    </row>
    <row r="638" spans="1:9" x14ac:dyDescent="0.15">
      <c r="A638" s="138"/>
      <c r="B638" s="523" t="s">
        <v>1581</v>
      </c>
      <c r="C638" s="524" t="s">
        <v>124</v>
      </c>
      <c r="D638" s="144">
        <v>0</v>
      </c>
      <c r="E638" s="144">
        <v>0</v>
      </c>
      <c r="F638" s="144">
        <v>0</v>
      </c>
      <c r="G638" s="144">
        <v>0</v>
      </c>
      <c r="H638" s="150">
        <v>0</v>
      </c>
      <c r="I638" s="567">
        <f t="shared" si="17"/>
        <v>0</v>
      </c>
    </row>
    <row r="639" spans="1:9" x14ac:dyDescent="0.15">
      <c r="A639" s="138"/>
      <c r="B639" s="523" t="s">
        <v>127</v>
      </c>
      <c r="C639" s="524" t="s">
        <v>134</v>
      </c>
      <c r="D639" s="144">
        <v>0</v>
      </c>
      <c r="E639" s="144">
        <v>0</v>
      </c>
      <c r="F639" s="144">
        <v>0</v>
      </c>
      <c r="G639" s="144">
        <v>0</v>
      </c>
      <c r="H639" s="150">
        <v>0</v>
      </c>
      <c r="I639" s="567">
        <f t="shared" si="17"/>
        <v>0</v>
      </c>
    </row>
    <row r="640" spans="1:9" x14ac:dyDescent="0.15">
      <c r="A640" s="138"/>
      <c r="B640" s="523" t="s">
        <v>128</v>
      </c>
      <c r="C640" s="524" t="s">
        <v>135</v>
      </c>
      <c r="D640" s="144">
        <v>0</v>
      </c>
      <c r="E640" s="144">
        <v>0</v>
      </c>
      <c r="F640" s="144">
        <v>0</v>
      </c>
      <c r="G640" s="144">
        <v>0</v>
      </c>
      <c r="H640" s="150">
        <v>0</v>
      </c>
      <c r="I640" s="567">
        <f t="shared" si="17"/>
        <v>0</v>
      </c>
    </row>
    <row r="641" spans="1:9" x14ac:dyDescent="0.15">
      <c r="A641" s="138"/>
      <c r="B641" s="523" t="s">
        <v>132</v>
      </c>
      <c r="C641" s="524" t="s">
        <v>1617</v>
      </c>
      <c r="D641" s="144">
        <v>0</v>
      </c>
      <c r="E641" s="144">
        <v>0</v>
      </c>
      <c r="F641" s="144">
        <v>0</v>
      </c>
      <c r="G641" s="144">
        <v>0</v>
      </c>
      <c r="H641" s="150">
        <v>0</v>
      </c>
      <c r="I641" s="567">
        <f t="shared" si="17"/>
        <v>0</v>
      </c>
    </row>
    <row r="642" spans="1:9" x14ac:dyDescent="0.15">
      <c r="A642" s="138"/>
      <c r="B642" s="523" t="s">
        <v>1618</v>
      </c>
      <c r="C642" s="524" t="s">
        <v>836</v>
      </c>
      <c r="D642" s="144">
        <v>0</v>
      </c>
      <c r="E642" s="144">
        <v>0</v>
      </c>
      <c r="F642" s="144">
        <v>0</v>
      </c>
      <c r="G642" s="144">
        <v>0</v>
      </c>
      <c r="H642" s="150">
        <v>0</v>
      </c>
      <c r="I642" s="567">
        <f t="shared" si="17"/>
        <v>0</v>
      </c>
    </row>
    <row r="643" spans="1:9" x14ac:dyDescent="0.15">
      <c r="A643" s="138"/>
      <c r="B643" s="523" t="s">
        <v>1619</v>
      </c>
      <c r="C643" s="524" t="s">
        <v>837</v>
      </c>
      <c r="D643" s="144">
        <v>0</v>
      </c>
      <c r="E643" s="144">
        <v>0</v>
      </c>
      <c r="F643" s="144">
        <v>0</v>
      </c>
      <c r="G643" s="144">
        <v>0</v>
      </c>
      <c r="H643" s="150">
        <v>0</v>
      </c>
      <c r="I643" s="567">
        <f t="shared" si="17"/>
        <v>0</v>
      </c>
    </row>
    <row r="644" spans="1:9" x14ac:dyDescent="0.15">
      <c r="A644" s="138"/>
      <c r="B644" s="523" t="s">
        <v>1620</v>
      </c>
      <c r="C644" s="524" t="s">
        <v>838</v>
      </c>
      <c r="D644" s="144">
        <v>0</v>
      </c>
      <c r="E644" s="144">
        <v>0</v>
      </c>
      <c r="F644" s="144">
        <v>0</v>
      </c>
      <c r="G644" s="144">
        <v>0</v>
      </c>
      <c r="H644" s="150">
        <v>0</v>
      </c>
      <c r="I644" s="567">
        <f t="shared" si="17"/>
        <v>0</v>
      </c>
    </row>
    <row r="645" spans="1:9" x14ac:dyDescent="0.15">
      <c r="A645" s="138"/>
      <c r="B645" s="523" t="s">
        <v>1621</v>
      </c>
      <c r="C645" s="524" t="s">
        <v>839</v>
      </c>
      <c r="D645" s="144">
        <v>0</v>
      </c>
      <c r="E645" s="144">
        <v>0</v>
      </c>
      <c r="F645" s="144">
        <v>0</v>
      </c>
      <c r="G645" s="144">
        <v>0</v>
      </c>
      <c r="H645" s="150">
        <v>0</v>
      </c>
      <c r="I645" s="567">
        <f t="shared" si="17"/>
        <v>0</v>
      </c>
    </row>
    <row r="646" spans="1:9" x14ac:dyDescent="0.15">
      <c r="A646" s="138"/>
      <c r="B646" s="523" t="s">
        <v>1622</v>
      </c>
      <c r="C646" s="524" t="s">
        <v>190</v>
      </c>
      <c r="D646" s="144">
        <v>0</v>
      </c>
      <c r="E646" s="144">
        <v>0</v>
      </c>
      <c r="F646" s="144">
        <v>0</v>
      </c>
      <c r="G646" s="144">
        <v>0</v>
      </c>
      <c r="H646" s="150">
        <v>0</v>
      </c>
      <c r="I646" s="567">
        <f t="shared" si="17"/>
        <v>0</v>
      </c>
    </row>
    <row r="647" spans="1:9" x14ac:dyDescent="0.15">
      <c r="A647" s="138"/>
      <c r="B647" s="523" t="s">
        <v>1623</v>
      </c>
      <c r="C647" s="524" t="s">
        <v>191</v>
      </c>
      <c r="D647" s="144">
        <v>0</v>
      </c>
      <c r="E647" s="144">
        <v>0</v>
      </c>
      <c r="F647" s="144">
        <v>0</v>
      </c>
      <c r="G647" s="144">
        <v>0</v>
      </c>
      <c r="H647" s="150">
        <v>0</v>
      </c>
      <c r="I647" s="567">
        <f t="shared" si="17"/>
        <v>0</v>
      </c>
    </row>
    <row r="648" spans="1:9" x14ac:dyDescent="0.15">
      <c r="A648" s="138"/>
      <c r="B648" s="523" t="s">
        <v>1624</v>
      </c>
      <c r="C648" s="524" t="s">
        <v>840</v>
      </c>
      <c r="D648" s="144">
        <v>0</v>
      </c>
      <c r="E648" s="144">
        <v>0</v>
      </c>
      <c r="F648" s="144">
        <v>0</v>
      </c>
      <c r="G648" s="144">
        <v>0</v>
      </c>
      <c r="H648" s="150">
        <v>0</v>
      </c>
      <c r="I648" s="567">
        <f t="shared" si="17"/>
        <v>0</v>
      </c>
    </row>
    <row r="649" spans="1:9" x14ac:dyDescent="0.15">
      <c r="A649" s="138"/>
      <c r="B649" s="523" t="s">
        <v>1625</v>
      </c>
      <c r="C649" s="524" t="s">
        <v>842</v>
      </c>
      <c r="D649" s="144">
        <v>0</v>
      </c>
      <c r="E649" s="144">
        <v>0</v>
      </c>
      <c r="F649" s="144">
        <v>0</v>
      </c>
      <c r="G649" s="144">
        <v>0</v>
      </c>
      <c r="H649" s="150">
        <v>0</v>
      </c>
      <c r="I649" s="567">
        <f t="shared" si="17"/>
        <v>0</v>
      </c>
    </row>
    <row r="650" spans="1:9" x14ac:dyDescent="0.15">
      <c r="A650" s="138"/>
      <c r="B650" s="523" t="s">
        <v>843</v>
      </c>
      <c r="C650" s="524" t="s">
        <v>848</v>
      </c>
      <c r="D650" s="144">
        <v>0</v>
      </c>
      <c r="E650" s="144">
        <v>0</v>
      </c>
      <c r="F650" s="144">
        <v>0</v>
      </c>
      <c r="G650" s="144">
        <v>0</v>
      </c>
      <c r="H650" s="150">
        <v>0</v>
      </c>
      <c r="I650" s="567">
        <f t="shared" si="17"/>
        <v>0</v>
      </c>
    </row>
    <row r="651" spans="1:9" x14ac:dyDescent="0.15">
      <c r="A651" s="138"/>
      <c r="B651" s="523" t="s">
        <v>844</v>
      </c>
      <c r="C651" s="524" t="s">
        <v>153</v>
      </c>
      <c r="D651" s="144">
        <v>0</v>
      </c>
      <c r="E651" s="144">
        <v>0</v>
      </c>
      <c r="F651" s="144">
        <v>0</v>
      </c>
      <c r="G651" s="144">
        <v>0</v>
      </c>
      <c r="H651" s="150">
        <v>0</v>
      </c>
      <c r="I651" s="567">
        <f t="shared" si="17"/>
        <v>0</v>
      </c>
    </row>
    <row r="652" spans="1:9" x14ac:dyDescent="0.15">
      <c r="A652" s="138"/>
      <c r="B652" s="523" t="s">
        <v>845</v>
      </c>
      <c r="C652" s="524" t="s">
        <v>154</v>
      </c>
      <c r="D652" s="144">
        <v>0</v>
      </c>
      <c r="E652" s="144">
        <v>0</v>
      </c>
      <c r="F652" s="144">
        <v>0</v>
      </c>
      <c r="G652" s="144">
        <v>0</v>
      </c>
      <c r="H652" s="150">
        <v>0</v>
      </c>
      <c r="I652" s="567">
        <f t="shared" si="17"/>
        <v>0</v>
      </c>
    </row>
    <row r="653" spans="1:9" x14ac:dyDescent="0.15">
      <c r="A653" s="138"/>
      <c r="B653" s="523" t="s">
        <v>846</v>
      </c>
      <c r="C653" s="524" t="s">
        <v>155</v>
      </c>
      <c r="D653" s="144">
        <v>0</v>
      </c>
      <c r="E653" s="144">
        <v>0</v>
      </c>
      <c r="F653" s="144">
        <v>0</v>
      </c>
      <c r="G653" s="144">
        <v>0</v>
      </c>
      <c r="H653" s="150">
        <v>0</v>
      </c>
      <c r="I653" s="567">
        <f t="shared" si="17"/>
        <v>0</v>
      </c>
    </row>
    <row r="654" spans="1:9" x14ac:dyDescent="0.15">
      <c r="A654" s="138"/>
      <c r="B654" s="523" t="s">
        <v>1582</v>
      </c>
      <c r="C654" s="524" t="s">
        <v>156</v>
      </c>
      <c r="D654" s="144">
        <v>0</v>
      </c>
      <c r="E654" s="144">
        <v>0</v>
      </c>
      <c r="F654" s="144">
        <v>0</v>
      </c>
      <c r="G654" s="144">
        <v>0</v>
      </c>
      <c r="H654" s="150">
        <v>0</v>
      </c>
      <c r="I654" s="567">
        <f t="shared" si="17"/>
        <v>0</v>
      </c>
    </row>
    <row r="655" spans="1:9" x14ac:dyDescent="0.15">
      <c r="A655" s="138"/>
      <c r="B655" s="523" t="s">
        <v>847</v>
      </c>
      <c r="C655" s="524" t="s">
        <v>157</v>
      </c>
      <c r="D655" s="144">
        <v>0</v>
      </c>
      <c r="E655" s="144">
        <v>0</v>
      </c>
      <c r="F655" s="144">
        <v>0</v>
      </c>
      <c r="G655" s="144">
        <v>0</v>
      </c>
      <c r="H655" s="150">
        <v>0</v>
      </c>
      <c r="I655" s="567">
        <f t="shared" si="17"/>
        <v>0</v>
      </c>
    </row>
    <row r="656" spans="1:9" x14ac:dyDescent="0.15">
      <c r="A656" s="138"/>
      <c r="B656" s="523" t="s">
        <v>1583</v>
      </c>
      <c r="C656" s="524" t="s">
        <v>160</v>
      </c>
      <c r="D656" s="144">
        <v>0</v>
      </c>
      <c r="E656" s="144">
        <v>0</v>
      </c>
      <c r="F656" s="144">
        <v>0</v>
      </c>
      <c r="G656" s="144">
        <v>0</v>
      </c>
      <c r="H656" s="150">
        <v>0</v>
      </c>
      <c r="I656" s="567">
        <f t="shared" si="17"/>
        <v>0</v>
      </c>
    </row>
    <row r="657" spans="1:9" x14ac:dyDescent="0.15">
      <c r="A657" s="138"/>
      <c r="B657" s="523" t="s">
        <v>634</v>
      </c>
      <c r="C657" s="524" t="s">
        <v>165</v>
      </c>
      <c r="D657" s="144">
        <v>0</v>
      </c>
      <c r="E657" s="144">
        <v>0</v>
      </c>
      <c r="F657" s="144">
        <v>0</v>
      </c>
      <c r="G657" s="144">
        <v>0</v>
      </c>
      <c r="H657" s="150">
        <v>0</v>
      </c>
      <c r="I657" s="567">
        <f t="shared" si="17"/>
        <v>0</v>
      </c>
    </row>
    <row r="658" spans="1:9" x14ac:dyDescent="0.15">
      <c r="A658" s="138"/>
      <c r="B658" s="523" t="s">
        <v>202</v>
      </c>
      <c r="C658" s="524" t="s">
        <v>731</v>
      </c>
      <c r="D658" s="144">
        <v>0</v>
      </c>
      <c r="E658" s="144">
        <v>0</v>
      </c>
      <c r="F658" s="144">
        <v>0</v>
      </c>
      <c r="G658" s="144">
        <v>0</v>
      </c>
      <c r="H658" s="150">
        <v>0</v>
      </c>
      <c r="I658" s="567">
        <f t="shared" si="17"/>
        <v>0</v>
      </c>
    </row>
    <row r="659" spans="1:9" x14ac:dyDescent="0.15">
      <c r="A659" s="138"/>
      <c r="B659" s="523" t="s">
        <v>630</v>
      </c>
      <c r="C659" s="524" t="s">
        <v>172</v>
      </c>
      <c r="D659" s="144">
        <v>0</v>
      </c>
      <c r="E659" s="144">
        <v>0</v>
      </c>
      <c r="F659" s="144">
        <v>0</v>
      </c>
      <c r="G659" s="144">
        <v>0</v>
      </c>
      <c r="H659" s="150">
        <v>0</v>
      </c>
      <c r="I659" s="567">
        <f t="shared" si="17"/>
        <v>0</v>
      </c>
    </row>
    <row r="660" spans="1:9" x14ac:dyDescent="0.15">
      <c r="A660" s="138"/>
      <c r="B660" s="650" t="s">
        <v>631</v>
      </c>
      <c r="C660" s="651" t="s">
        <v>173</v>
      </c>
      <c r="D660" s="144">
        <v>0</v>
      </c>
      <c r="E660" s="144">
        <v>0</v>
      </c>
      <c r="F660" s="144">
        <v>0</v>
      </c>
      <c r="G660" s="144">
        <v>0</v>
      </c>
      <c r="H660" s="150">
        <v>0</v>
      </c>
      <c r="I660" s="567">
        <f t="shared" si="17"/>
        <v>0</v>
      </c>
    </row>
    <row r="661" spans="1:9" x14ac:dyDescent="0.15">
      <c r="A661" s="138"/>
      <c r="B661" s="523" t="s">
        <v>1584</v>
      </c>
      <c r="C661" s="524" t="s">
        <v>178</v>
      </c>
      <c r="D661" s="144">
        <v>0</v>
      </c>
      <c r="E661" s="144">
        <v>0</v>
      </c>
      <c r="F661" s="144">
        <v>0</v>
      </c>
      <c r="G661" s="144">
        <v>0</v>
      </c>
      <c r="H661" s="150">
        <v>0</v>
      </c>
      <c r="I661" s="567">
        <f t="shared" si="17"/>
        <v>0</v>
      </c>
    </row>
    <row r="662" spans="1:9" x14ac:dyDescent="0.15">
      <c r="A662" s="138"/>
      <c r="B662" s="523" t="s">
        <v>174</v>
      </c>
      <c r="C662" s="524" t="s">
        <v>179</v>
      </c>
      <c r="D662" s="144">
        <v>0</v>
      </c>
      <c r="E662" s="144">
        <v>0</v>
      </c>
      <c r="F662" s="144">
        <v>0</v>
      </c>
      <c r="G662" s="144">
        <v>0</v>
      </c>
      <c r="H662" s="150">
        <v>0</v>
      </c>
      <c r="I662" s="567">
        <f t="shared" si="17"/>
        <v>0</v>
      </c>
    </row>
    <row r="663" spans="1:9" x14ac:dyDescent="0.15">
      <c r="A663" s="138"/>
      <c r="B663" s="523" t="s">
        <v>175</v>
      </c>
      <c r="C663" s="524" t="s">
        <v>180</v>
      </c>
      <c r="D663" s="144">
        <v>0</v>
      </c>
      <c r="E663" s="144">
        <v>0</v>
      </c>
      <c r="F663" s="144">
        <v>0</v>
      </c>
      <c r="G663" s="144">
        <v>0</v>
      </c>
      <c r="H663" s="150">
        <v>0</v>
      </c>
      <c r="I663" s="567">
        <f t="shared" si="17"/>
        <v>0</v>
      </c>
    </row>
    <row r="664" spans="1:9" ht="11.25" thickBot="1" x14ac:dyDescent="0.2">
      <c r="A664" s="138"/>
      <c r="B664" s="523" t="s">
        <v>176</v>
      </c>
      <c r="C664" s="524" t="s">
        <v>181</v>
      </c>
      <c r="D664" s="144">
        <v>0</v>
      </c>
      <c r="E664" s="144">
        <v>0</v>
      </c>
      <c r="F664" s="144">
        <v>0</v>
      </c>
      <c r="G664" s="144">
        <v>0</v>
      </c>
      <c r="H664" s="150">
        <v>0</v>
      </c>
      <c r="I664" s="567">
        <f>SUM(G664+H664)</f>
        <v>0</v>
      </c>
    </row>
    <row r="665" spans="1:9" ht="12" thickTop="1" thickBot="1" x14ac:dyDescent="0.2">
      <c r="A665" s="138"/>
      <c r="B665" s="523"/>
      <c r="C665" s="524" t="s">
        <v>144</v>
      </c>
      <c r="D665" s="169">
        <f>SUM(D630:D664)</f>
        <v>0</v>
      </c>
      <c r="E665" s="169">
        <f>SUM(E630:E664)</f>
        <v>0</v>
      </c>
      <c r="F665" s="169">
        <f>SUM(F630:F664)</f>
        <v>0</v>
      </c>
      <c r="G665" s="169">
        <f>SUM(G630:G664)</f>
        <v>0</v>
      </c>
      <c r="H665" s="169">
        <f>SUM(H630:H664)</f>
        <v>0</v>
      </c>
      <c r="I665" s="169">
        <f>SUM(G665+H665)</f>
        <v>0</v>
      </c>
    </row>
    <row r="666" spans="1:9" ht="11.25" thickTop="1" x14ac:dyDescent="0.15">
      <c r="A666" s="138"/>
      <c r="B666" s="524"/>
      <c r="C666" s="524"/>
      <c r="D666" s="14"/>
      <c r="E666" s="14"/>
      <c r="F666" s="14"/>
      <c r="G666" s="14"/>
      <c r="H666" s="14"/>
      <c r="I666" s="563"/>
    </row>
    <row r="667" spans="1:9" x14ac:dyDescent="0.15">
      <c r="A667" s="522" t="s">
        <v>145</v>
      </c>
      <c r="B667" s="524"/>
      <c r="C667" s="524"/>
      <c r="D667" s="14"/>
      <c r="E667" s="14"/>
      <c r="F667" s="14"/>
      <c r="G667" s="14"/>
      <c r="H667" s="14"/>
      <c r="I667" s="563"/>
    </row>
    <row r="668" spans="1:9" x14ac:dyDescent="0.15">
      <c r="A668" s="434"/>
      <c r="B668" s="523" t="s">
        <v>1577</v>
      </c>
      <c r="C668" s="524" t="s">
        <v>228</v>
      </c>
      <c r="D668" s="316">
        <v>0</v>
      </c>
      <c r="E668" s="316">
        <v>0</v>
      </c>
      <c r="F668" s="316">
        <v>0</v>
      </c>
      <c r="G668" s="528">
        <f t="array" ref="G668">SUM(IF(CertFund&amp;CertProg&amp;CertObj=RIGHT(LEFT($A$2,7),2)&amp;LEFT(A667,4)&amp;B668,CertSalary))</f>
        <v>0</v>
      </c>
      <c r="H668" s="527">
        <v>0</v>
      </c>
      <c r="I668" s="566">
        <f>SUM(G668+H668)</f>
        <v>0</v>
      </c>
    </row>
    <row r="669" spans="1:9" x14ac:dyDescent="0.15">
      <c r="A669" s="434"/>
      <c r="B669" s="523" t="s">
        <v>1577</v>
      </c>
      <c r="C669" s="524" t="s">
        <v>510</v>
      </c>
      <c r="D669" s="316">
        <v>0</v>
      </c>
      <c r="E669" s="316">
        <v>0</v>
      </c>
      <c r="F669" s="316">
        <v>0</v>
      </c>
      <c r="G669" s="316">
        <v>0</v>
      </c>
      <c r="H669" s="527">
        <v>0</v>
      </c>
      <c r="I669" s="566">
        <f>SUM(G669+H669)</f>
        <v>0</v>
      </c>
    </row>
    <row r="670" spans="1:9" x14ac:dyDescent="0.15">
      <c r="A670" s="524"/>
      <c r="B670" s="523" t="s">
        <v>1578</v>
      </c>
      <c r="C670" s="524" t="s">
        <v>936</v>
      </c>
      <c r="D670" s="316">
        <v>0</v>
      </c>
      <c r="E670" s="316">
        <v>0</v>
      </c>
      <c r="F670" s="316">
        <v>0</v>
      </c>
      <c r="G670" s="529">
        <f t="array" ref="G670">SUM(IF(CertFund&amp;CertProg&amp;CertObj=RIGHT(LEFT($A$2,7),2)&amp;LEFT(A667,4)&amp;B668,CertBen))</f>
        <v>0</v>
      </c>
      <c r="H670" s="527">
        <v>0</v>
      </c>
      <c r="I670" s="566">
        <f>SUM(G670+H670)</f>
        <v>0</v>
      </c>
    </row>
    <row r="671" spans="1:9" x14ac:dyDescent="0.15">
      <c r="A671" s="138"/>
      <c r="B671" s="521" t="s">
        <v>1578</v>
      </c>
      <c r="C671" s="138" t="s">
        <v>511</v>
      </c>
      <c r="D671" s="147">
        <v>0</v>
      </c>
      <c r="E671" s="147">
        <v>0</v>
      </c>
      <c r="F671" s="147">
        <v>0</v>
      </c>
      <c r="G671" s="147">
        <v>0</v>
      </c>
      <c r="H671" s="150">
        <v>0</v>
      </c>
      <c r="I671" s="567">
        <f>SUM(G671+H671)</f>
        <v>0</v>
      </c>
    </row>
    <row r="672" spans="1:9" x14ac:dyDescent="0.15">
      <c r="A672" s="138"/>
      <c r="B672" s="523" t="s">
        <v>1579</v>
      </c>
      <c r="C672" s="524" t="s">
        <v>118</v>
      </c>
      <c r="D672" s="144">
        <v>0</v>
      </c>
      <c r="E672" s="144">
        <v>0</v>
      </c>
      <c r="F672" s="144">
        <v>0</v>
      </c>
      <c r="G672" s="291">
        <v>0</v>
      </c>
      <c r="H672" s="150">
        <v>0</v>
      </c>
      <c r="I672" s="567">
        <f t="shared" ref="I672:I702" si="18">SUM(G672+H672)</f>
        <v>0</v>
      </c>
    </row>
    <row r="673" spans="1:9" x14ac:dyDescent="0.15">
      <c r="A673" s="138"/>
      <c r="B673" s="523" t="s">
        <v>1580</v>
      </c>
      <c r="C673" s="524" t="s">
        <v>119</v>
      </c>
      <c r="D673" s="144">
        <v>0</v>
      </c>
      <c r="E673" s="144">
        <v>0</v>
      </c>
      <c r="F673" s="144">
        <v>0</v>
      </c>
      <c r="G673" s="291">
        <v>0</v>
      </c>
      <c r="H673" s="150">
        <v>0</v>
      </c>
      <c r="I673" s="567">
        <f t="shared" si="18"/>
        <v>0</v>
      </c>
    </row>
    <row r="674" spans="1:9" x14ac:dyDescent="0.15">
      <c r="A674" s="138"/>
      <c r="B674" s="523" t="s">
        <v>120</v>
      </c>
      <c r="C674" s="524" t="s">
        <v>121</v>
      </c>
      <c r="D674" s="144">
        <v>0</v>
      </c>
      <c r="E674" s="144">
        <v>0</v>
      </c>
      <c r="F674" s="144">
        <v>0</v>
      </c>
      <c r="G674" s="291">
        <v>0</v>
      </c>
      <c r="H674" s="150">
        <v>0</v>
      </c>
      <c r="I674" s="567">
        <f t="shared" si="18"/>
        <v>0</v>
      </c>
    </row>
    <row r="675" spans="1:9" x14ac:dyDescent="0.15">
      <c r="A675" s="138"/>
      <c r="B675" s="523" t="s">
        <v>122</v>
      </c>
      <c r="C675" s="524" t="s">
        <v>123</v>
      </c>
      <c r="D675" s="144">
        <v>0</v>
      </c>
      <c r="E675" s="144">
        <v>0</v>
      </c>
      <c r="F675" s="144">
        <v>0</v>
      </c>
      <c r="G675" s="291">
        <v>0</v>
      </c>
      <c r="H675" s="150">
        <v>0</v>
      </c>
      <c r="I675" s="567">
        <f t="shared" si="18"/>
        <v>0</v>
      </c>
    </row>
    <row r="676" spans="1:9" x14ac:dyDescent="0.15">
      <c r="A676" s="138"/>
      <c r="B676" s="523" t="s">
        <v>1581</v>
      </c>
      <c r="C676" s="524" t="s">
        <v>124</v>
      </c>
      <c r="D676" s="144">
        <v>0</v>
      </c>
      <c r="E676" s="144">
        <v>0</v>
      </c>
      <c r="F676" s="144">
        <v>0</v>
      </c>
      <c r="G676" s="291">
        <v>0</v>
      </c>
      <c r="H676" s="150">
        <v>0</v>
      </c>
      <c r="I676" s="567">
        <f t="shared" si="18"/>
        <v>0</v>
      </c>
    </row>
    <row r="677" spans="1:9" x14ac:dyDescent="0.15">
      <c r="A677" s="138"/>
      <c r="B677" s="523" t="s">
        <v>127</v>
      </c>
      <c r="C677" s="524" t="s">
        <v>134</v>
      </c>
      <c r="D677" s="144">
        <v>0</v>
      </c>
      <c r="E677" s="144">
        <v>0</v>
      </c>
      <c r="F677" s="144">
        <v>0</v>
      </c>
      <c r="G677" s="291">
        <v>0</v>
      </c>
      <c r="H677" s="150">
        <v>0</v>
      </c>
      <c r="I677" s="567">
        <f t="shared" si="18"/>
        <v>0</v>
      </c>
    </row>
    <row r="678" spans="1:9" x14ac:dyDescent="0.15">
      <c r="A678" s="138"/>
      <c r="B678" s="523" t="s">
        <v>128</v>
      </c>
      <c r="C678" s="524" t="s">
        <v>135</v>
      </c>
      <c r="D678" s="144">
        <v>0</v>
      </c>
      <c r="E678" s="144">
        <v>0</v>
      </c>
      <c r="F678" s="144">
        <v>0</v>
      </c>
      <c r="G678" s="291">
        <v>0</v>
      </c>
      <c r="H678" s="150">
        <v>0</v>
      </c>
      <c r="I678" s="567">
        <f t="shared" si="18"/>
        <v>0</v>
      </c>
    </row>
    <row r="679" spans="1:9" x14ac:dyDescent="0.15">
      <c r="A679" s="138"/>
      <c r="B679" s="523" t="s">
        <v>132</v>
      </c>
      <c r="C679" s="524" t="s">
        <v>1617</v>
      </c>
      <c r="D679" s="144">
        <v>0</v>
      </c>
      <c r="E679" s="144">
        <v>0</v>
      </c>
      <c r="F679" s="144">
        <v>0</v>
      </c>
      <c r="G679" s="291">
        <v>0</v>
      </c>
      <c r="H679" s="150">
        <v>0</v>
      </c>
      <c r="I679" s="567">
        <f t="shared" si="18"/>
        <v>0</v>
      </c>
    </row>
    <row r="680" spans="1:9" x14ac:dyDescent="0.15">
      <c r="A680" s="138"/>
      <c r="B680" s="523" t="s">
        <v>1618</v>
      </c>
      <c r="C680" s="524" t="s">
        <v>836</v>
      </c>
      <c r="D680" s="144">
        <v>0</v>
      </c>
      <c r="E680" s="144">
        <v>0</v>
      </c>
      <c r="F680" s="144">
        <v>0</v>
      </c>
      <c r="G680" s="291">
        <v>0</v>
      </c>
      <c r="H680" s="150">
        <v>0</v>
      </c>
      <c r="I680" s="567">
        <f t="shared" si="18"/>
        <v>0</v>
      </c>
    </row>
    <row r="681" spans="1:9" x14ac:dyDescent="0.15">
      <c r="A681" s="138"/>
      <c r="B681" s="523" t="s">
        <v>1619</v>
      </c>
      <c r="C681" s="524" t="s">
        <v>837</v>
      </c>
      <c r="D681" s="144">
        <v>0</v>
      </c>
      <c r="E681" s="144">
        <v>0</v>
      </c>
      <c r="F681" s="144">
        <v>0</v>
      </c>
      <c r="G681" s="291">
        <v>0</v>
      </c>
      <c r="H681" s="150">
        <v>0</v>
      </c>
      <c r="I681" s="567">
        <f t="shared" si="18"/>
        <v>0</v>
      </c>
    </row>
    <row r="682" spans="1:9" x14ac:dyDescent="0.15">
      <c r="A682" s="138"/>
      <c r="B682" s="523" t="s">
        <v>1620</v>
      </c>
      <c r="C682" s="524" t="s">
        <v>838</v>
      </c>
      <c r="D682" s="144">
        <v>0</v>
      </c>
      <c r="E682" s="144">
        <v>0</v>
      </c>
      <c r="F682" s="144">
        <v>0</v>
      </c>
      <c r="G682" s="291">
        <v>0</v>
      </c>
      <c r="H682" s="150">
        <v>0</v>
      </c>
      <c r="I682" s="567">
        <f t="shared" si="18"/>
        <v>0</v>
      </c>
    </row>
    <row r="683" spans="1:9" x14ac:dyDescent="0.15">
      <c r="A683" s="138"/>
      <c r="B683" s="523" t="s">
        <v>1621</v>
      </c>
      <c r="C683" s="524" t="s">
        <v>839</v>
      </c>
      <c r="D683" s="144">
        <v>0</v>
      </c>
      <c r="E683" s="144">
        <v>0</v>
      </c>
      <c r="F683" s="144">
        <v>0</v>
      </c>
      <c r="G683" s="291">
        <v>0</v>
      </c>
      <c r="H683" s="150">
        <v>0</v>
      </c>
      <c r="I683" s="567">
        <f t="shared" si="18"/>
        <v>0</v>
      </c>
    </row>
    <row r="684" spans="1:9" x14ac:dyDescent="0.15">
      <c r="A684" s="138"/>
      <c r="B684" s="523" t="s">
        <v>1622</v>
      </c>
      <c r="C684" s="524" t="s">
        <v>190</v>
      </c>
      <c r="D684" s="144">
        <v>0</v>
      </c>
      <c r="E684" s="144">
        <v>0</v>
      </c>
      <c r="F684" s="144">
        <v>0</v>
      </c>
      <c r="G684" s="291">
        <v>0</v>
      </c>
      <c r="H684" s="150">
        <v>0</v>
      </c>
      <c r="I684" s="567">
        <f t="shared" si="18"/>
        <v>0</v>
      </c>
    </row>
    <row r="685" spans="1:9" x14ac:dyDescent="0.15">
      <c r="A685" s="138"/>
      <c r="B685" s="523" t="s">
        <v>1623</v>
      </c>
      <c r="C685" s="524" t="s">
        <v>191</v>
      </c>
      <c r="D685" s="144">
        <v>0</v>
      </c>
      <c r="E685" s="144">
        <v>0</v>
      </c>
      <c r="F685" s="144">
        <v>0</v>
      </c>
      <c r="G685" s="291">
        <v>0</v>
      </c>
      <c r="H685" s="150">
        <v>0</v>
      </c>
      <c r="I685" s="567">
        <f t="shared" si="18"/>
        <v>0</v>
      </c>
    </row>
    <row r="686" spans="1:9" x14ac:dyDescent="0.15">
      <c r="A686" s="138"/>
      <c r="B686" s="523" t="s">
        <v>1624</v>
      </c>
      <c r="C686" s="524" t="s">
        <v>840</v>
      </c>
      <c r="D686" s="144">
        <v>0</v>
      </c>
      <c r="E686" s="144">
        <v>0</v>
      </c>
      <c r="F686" s="144">
        <v>0</v>
      </c>
      <c r="G686" s="291">
        <v>0</v>
      </c>
      <c r="H686" s="150">
        <v>0</v>
      </c>
      <c r="I686" s="567">
        <f t="shared" si="18"/>
        <v>0</v>
      </c>
    </row>
    <row r="687" spans="1:9" x14ac:dyDescent="0.15">
      <c r="A687" s="138"/>
      <c r="B687" s="523" t="s">
        <v>1625</v>
      </c>
      <c r="C687" s="524" t="s">
        <v>842</v>
      </c>
      <c r="D687" s="144">
        <v>0</v>
      </c>
      <c r="E687" s="144">
        <v>0</v>
      </c>
      <c r="F687" s="144">
        <v>0</v>
      </c>
      <c r="G687" s="291">
        <v>0</v>
      </c>
      <c r="H687" s="150">
        <v>0</v>
      </c>
      <c r="I687" s="567">
        <f t="shared" si="18"/>
        <v>0</v>
      </c>
    </row>
    <row r="688" spans="1:9" x14ac:dyDescent="0.15">
      <c r="A688" s="138"/>
      <c r="B688" s="523" t="s">
        <v>843</v>
      </c>
      <c r="C688" s="524" t="s">
        <v>848</v>
      </c>
      <c r="D688" s="144">
        <v>0</v>
      </c>
      <c r="E688" s="144">
        <v>0</v>
      </c>
      <c r="F688" s="144">
        <v>0</v>
      </c>
      <c r="G688" s="291">
        <v>0</v>
      </c>
      <c r="H688" s="150">
        <v>0</v>
      </c>
      <c r="I688" s="567">
        <f t="shared" si="18"/>
        <v>0</v>
      </c>
    </row>
    <row r="689" spans="1:9" x14ac:dyDescent="0.15">
      <c r="A689" s="138"/>
      <c r="B689" s="523" t="s">
        <v>844</v>
      </c>
      <c r="C689" s="524" t="s">
        <v>153</v>
      </c>
      <c r="D689" s="144">
        <v>0</v>
      </c>
      <c r="E689" s="144">
        <v>0</v>
      </c>
      <c r="F689" s="144">
        <v>0</v>
      </c>
      <c r="G689" s="291">
        <v>0</v>
      </c>
      <c r="H689" s="150">
        <v>0</v>
      </c>
      <c r="I689" s="567">
        <f t="shared" si="18"/>
        <v>0</v>
      </c>
    </row>
    <row r="690" spans="1:9" x14ac:dyDescent="0.15">
      <c r="A690" s="138"/>
      <c r="B690" s="523" t="s">
        <v>845</v>
      </c>
      <c r="C690" s="524" t="s">
        <v>154</v>
      </c>
      <c r="D690" s="144">
        <v>0</v>
      </c>
      <c r="E690" s="144">
        <v>0</v>
      </c>
      <c r="F690" s="144">
        <v>0</v>
      </c>
      <c r="G690" s="291">
        <v>0</v>
      </c>
      <c r="H690" s="150">
        <v>0</v>
      </c>
      <c r="I690" s="567">
        <f t="shared" si="18"/>
        <v>0</v>
      </c>
    </row>
    <row r="691" spans="1:9" x14ac:dyDescent="0.15">
      <c r="A691" s="138"/>
      <c r="B691" s="523" t="s">
        <v>846</v>
      </c>
      <c r="C691" s="524" t="s">
        <v>155</v>
      </c>
      <c r="D691" s="144">
        <v>0</v>
      </c>
      <c r="E691" s="144">
        <v>0</v>
      </c>
      <c r="F691" s="144">
        <v>0</v>
      </c>
      <c r="G691" s="291">
        <v>0</v>
      </c>
      <c r="H691" s="150">
        <v>0</v>
      </c>
      <c r="I691" s="567">
        <f t="shared" si="18"/>
        <v>0</v>
      </c>
    </row>
    <row r="692" spans="1:9" x14ac:dyDescent="0.15">
      <c r="A692" s="138"/>
      <c r="B692" s="523" t="s">
        <v>1582</v>
      </c>
      <c r="C692" s="524" t="s">
        <v>156</v>
      </c>
      <c r="D692" s="144">
        <v>0</v>
      </c>
      <c r="E692" s="144">
        <v>0</v>
      </c>
      <c r="F692" s="144">
        <v>0</v>
      </c>
      <c r="G692" s="291">
        <v>0</v>
      </c>
      <c r="H692" s="150">
        <v>0</v>
      </c>
      <c r="I692" s="567">
        <f t="shared" si="18"/>
        <v>0</v>
      </c>
    </row>
    <row r="693" spans="1:9" x14ac:dyDescent="0.15">
      <c r="A693" s="138"/>
      <c r="B693" s="523" t="s">
        <v>847</v>
      </c>
      <c r="C693" s="524" t="s">
        <v>157</v>
      </c>
      <c r="D693" s="144">
        <v>0</v>
      </c>
      <c r="E693" s="144">
        <v>0</v>
      </c>
      <c r="F693" s="144">
        <v>0</v>
      </c>
      <c r="G693" s="291">
        <v>0</v>
      </c>
      <c r="H693" s="150">
        <v>0</v>
      </c>
      <c r="I693" s="567">
        <f t="shared" si="18"/>
        <v>0</v>
      </c>
    </row>
    <row r="694" spans="1:9" x14ac:dyDescent="0.15">
      <c r="A694" s="138"/>
      <c r="B694" s="523" t="s">
        <v>1583</v>
      </c>
      <c r="C694" s="524" t="s">
        <v>160</v>
      </c>
      <c r="D694" s="144">
        <v>0</v>
      </c>
      <c r="E694" s="144">
        <v>0</v>
      </c>
      <c r="F694" s="144">
        <v>0</v>
      </c>
      <c r="G694" s="291">
        <v>0</v>
      </c>
      <c r="H694" s="150">
        <v>0</v>
      </c>
      <c r="I694" s="567">
        <f t="shared" si="18"/>
        <v>0</v>
      </c>
    </row>
    <row r="695" spans="1:9" x14ac:dyDescent="0.15">
      <c r="A695" s="138"/>
      <c r="B695" s="523" t="s">
        <v>634</v>
      </c>
      <c r="C695" s="524" t="s">
        <v>165</v>
      </c>
      <c r="D695" s="144">
        <v>0</v>
      </c>
      <c r="E695" s="144">
        <v>0</v>
      </c>
      <c r="F695" s="144">
        <v>0</v>
      </c>
      <c r="G695" s="291">
        <v>0</v>
      </c>
      <c r="H695" s="150">
        <v>0</v>
      </c>
      <c r="I695" s="567">
        <f t="shared" si="18"/>
        <v>0</v>
      </c>
    </row>
    <row r="696" spans="1:9" x14ac:dyDescent="0.15">
      <c r="A696" s="138"/>
      <c r="B696" s="523" t="s">
        <v>630</v>
      </c>
      <c r="C696" s="524" t="s">
        <v>172</v>
      </c>
      <c r="D696" s="144">
        <v>0</v>
      </c>
      <c r="E696" s="144">
        <v>0</v>
      </c>
      <c r="F696" s="144">
        <v>0</v>
      </c>
      <c r="G696" s="291">
        <v>0</v>
      </c>
      <c r="H696" s="150">
        <v>0</v>
      </c>
      <c r="I696" s="567">
        <f t="shared" si="18"/>
        <v>0</v>
      </c>
    </row>
    <row r="697" spans="1:9" x14ac:dyDescent="0.15">
      <c r="A697" s="138"/>
      <c r="B697" s="650" t="s">
        <v>631</v>
      </c>
      <c r="C697" s="651" t="s">
        <v>173</v>
      </c>
      <c r="D697" s="144">
        <v>0</v>
      </c>
      <c r="E697" s="144">
        <v>0</v>
      </c>
      <c r="F697" s="144">
        <v>0</v>
      </c>
      <c r="G697" s="291">
        <v>0</v>
      </c>
      <c r="H697" s="150">
        <v>0</v>
      </c>
      <c r="I697" s="567">
        <f t="shared" si="18"/>
        <v>0</v>
      </c>
    </row>
    <row r="698" spans="1:9" x14ac:dyDescent="0.15">
      <c r="A698" s="138"/>
      <c r="B698" s="523" t="s">
        <v>1584</v>
      </c>
      <c r="C698" s="524" t="s">
        <v>178</v>
      </c>
      <c r="D698" s="144">
        <v>0</v>
      </c>
      <c r="E698" s="144">
        <v>0</v>
      </c>
      <c r="F698" s="144">
        <v>0</v>
      </c>
      <c r="G698" s="291">
        <v>0</v>
      </c>
      <c r="H698" s="150">
        <v>0</v>
      </c>
      <c r="I698" s="567">
        <f t="shared" si="18"/>
        <v>0</v>
      </c>
    </row>
    <row r="699" spans="1:9" x14ac:dyDescent="0.15">
      <c r="A699" s="138"/>
      <c r="B699" s="523" t="s">
        <v>174</v>
      </c>
      <c r="C699" s="524" t="s">
        <v>179</v>
      </c>
      <c r="D699" s="144">
        <v>0</v>
      </c>
      <c r="E699" s="144">
        <v>0</v>
      </c>
      <c r="F699" s="144">
        <v>0</v>
      </c>
      <c r="G699" s="291">
        <v>0</v>
      </c>
      <c r="H699" s="150">
        <v>0</v>
      </c>
      <c r="I699" s="567">
        <f t="shared" si="18"/>
        <v>0</v>
      </c>
    </row>
    <row r="700" spans="1:9" x14ac:dyDescent="0.15">
      <c r="A700" s="138"/>
      <c r="B700" s="523" t="s">
        <v>175</v>
      </c>
      <c r="C700" s="524" t="s">
        <v>180</v>
      </c>
      <c r="D700" s="144">
        <v>0</v>
      </c>
      <c r="E700" s="144">
        <v>0</v>
      </c>
      <c r="F700" s="144">
        <v>0</v>
      </c>
      <c r="G700" s="291">
        <v>0</v>
      </c>
      <c r="H700" s="150">
        <v>0</v>
      </c>
      <c r="I700" s="567">
        <f t="shared" si="18"/>
        <v>0</v>
      </c>
    </row>
    <row r="701" spans="1:9" ht="11.25" thickBot="1" x14ac:dyDescent="0.2">
      <c r="A701" s="138"/>
      <c r="B701" s="523" t="s">
        <v>176</v>
      </c>
      <c r="C701" s="524" t="s">
        <v>181</v>
      </c>
      <c r="D701" s="144">
        <v>0</v>
      </c>
      <c r="E701" s="144">
        <v>0</v>
      </c>
      <c r="F701" s="144">
        <v>0</v>
      </c>
      <c r="G701" s="291">
        <v>0</v>
      </c>
      <c r="H701" s="150">
        <v>0</v>
      </c>
      <c r="I701" s="567">
        <f t="shared" si="18"/>
        <v>0</v>
      </c>
    </row>
    <row r="702" spans="1:9" ht="12" thickTop="1" thickBot="1" x14ac:dyDescent="0.2">
      <c r="A702" s="138"/>
      <c r="B702" s="523"/>
      <c r="C702" s="524" t="s">
        <v>146</v>
      </c>
      <c r="D702" s="169">
        <f>SUM(D668:D701)</f>
        <v>0</v>
      </c>
      <c r="E702" s="169">
        <f>SUM(E668:E701)</f>
        <v>0</v>
      </c>
      <c r="F702" s="169">
        <f>SUM(F668:F701)</f>
        <v>0</v>
      </c>
      <c r="G702" s="169">
        <f>SUM(G668:G701)</f>
        <v>0</v>
      </c>
      <c r="H702" s="169">
        <f>SUM(H668:H701)</f>
        <v>0</v>
      </c>
      <c r="I702" s="169">
        <f t="shared" si="18"/>
        <v>0</v>
      </c>
    </row>
    <row r="703" spans="1:9" ht="11.25" thickTop="1" x14ac:dyDescent="0.15">
      <c r="A703" s="138"/>
      <c r="B703" s="524"/>
      <c r="C703" s="524"/>
      <c r="D703" s="14"/>
      <c r="E703" s="14"/>
      <c r="F703" s="14"/>
      <c r="G703" s="14"/>
      <c r="H703" s="14"/>
      <c r="I703" s="563"/>
    </row>
    <row r="704" spans="1:9" x14ac:dyDescent="0.15">
      <c r="A704" s="522" t="s">
        <v>334</v>
      </c>
      <c r="B704" s="524"/>
      <c r="C704" s="524"/>
      <c r="D704" s="14"/>
      <c r="E704" s="14"/>
      <c r="F704" s="14"/>
      <c r="G704" s="14"/>
      <c r="H704" s="14"/>
      <c r="I704" s="563"/>
    </row>
    <row r="705" spans="1:9" x14ac:dyDescent="0.15">
      <c r="A705" s="434"/>
      <c r="B705" s="523" t="s">
        <v>1577</v>
      </c>
      <c r="C705" s="524" t="s">
        <v>228</v>
      </c>
      <c r="D705" s="316">
        <v>0</v>
      </c>
      <c r="E705" s="316">
        <v>0</v>
      </c>
      <c r="F705" s="316">
        <v>0</v>
      </c>
      <c r="G705" s="528">
        <f t="array" ref="G705">SUM(IF(CertFund&amp;CertProg&amp;CertObj=RIGHT(LEFT($A$2,7),2)&amp;LEFT(A704,4)&amp;B705,CertSalary))</f>
        <v>0</v>
      </c>
      <c r="H705" s="527">
        <v>0</v>
      </c>
      <c r="I705" s="566">
        <f>SUM(G705+H705)</f>
        <v>0</v>
      </c>
    </row>
    <row r="706" spans="1:9" x14ac:dyDescent="0.15">
      <c r="A706" s="434"/>
      <c r="B706" s="523" t="s">
        <v>1577</v>
      </c>
      <c r="C706" s="524" t="s">
        <v>510</v>
      </c>
      <c r="D706" s="316">
        <v>0</v>
      </c>
      <c r="E706" s="316">
        <v>0</v>
      </c>
      <c r="F706" s="316">
        <v>0</v>
      </c>
      <c r="G706" s="316">
        <v>0</v>
      </c>
      <c r="H706" s="527">
        <v>0</v>
      </c>
      <c r="I706" s="566">
        <f>SUM(G706+H706)</f>
        <v>0</v>
      </c>
    </row>
    <row r="707" spans="1:9" x14ac:dyDescent="0.15">
      <c r="A707" s="524"/>
      <c r="B707" s="523" t="s">
        <v>1578</v>
      </c>
      <c r="C707" s="524" t="s">
        <v>936</v>
      </c>
      <c r="D707" s="316">
        <v>0</v>
      </c>
      <c r="E707" s="316">
        <v>0</v>
      </c>
      <c r="F707" s="316">
        <v>0</v>
      </c>
      <c r="G707" s="529">
        <f t="array" ref="G707">SUM(IF(CertFund&amp;CertProg&amp;CertObj=RIGHT(LEFT($A$2,7),2)&amp;LEFT(A704,4)&amp;B705,CertBen))</f>
        <v>0</v>
      </c>
      <c r="H707" s="527">
        <v>0</v>
      </c>
      <c r="I707" s="566">
        <f>SUM(G707+H707)</f>
        <v>0</v>
      </c>
    </row>
    <row r="708" spans="1:9" x14ac:dyDescent="0.15">
      <c r="A708" s="138"/>
      <c r="B708" s="521" t="s">
        <v>1578</v>
      </c>
      <c r="C708" s="138" t="s">
        <v>511</v>
      </c>
      <c r="D708" s="147">
        <v>0</v>
      </c>
      <c r="E708" s="147">
        <v>0</v>
      </c>
      <c r="F708" s="147">
        <v>0</v>
      </c>
      <c r="G708" s="147">
        <v>0</v>
      </c>
      <c r="H708" s="150">
        <v>0</v>
      </c>
      <c r="I708" s="567">
        <f>SUM(G708+H708)</f>
        <v>0</v>
      </c>
    </row>
    <row r="709" spans="1:9" x14ac:dyDescent="0.15">
      <c r="A709" s="138"/>
      <c r="B709" s="523" t="s">
        <v>1579</v>
      </c>
      <c r="C709" s="524" t="s">
        <v>118</v>
      </c>
      <c r="D709" s="144">
        <v>0</v>
      </c>
      <c r="E709" s="144">
        <v>0</v>
      </c>
      <c r="F709" s="144">
        <v>0</v>
      </c>
      <c r="G709" s="291">
        <v>0</v>
      </c>
      <c r="H709" s="150">
        <v>0</v>
      </c>
      <c r="I709" s="567">
        <f t="shared" ref="I709:I739" si="19">SUM(G709+H709)</f>
        <v>0</v>
      </c>
    </row>
    <row r="710" spans="1:9" x14ac:dyDescent="0.15">
      <c r="A710" s="138"/>
      <c r="B710" s="523" t="s">
        <v>1580</v>
      </c>
      <c r="C710" s="524" t="s">
        <v>119</v>
      </c>
      <c r="D710" s="144">
        <v>0</v>
      </c>
      <c r="E710" s="144">
        <v>0</v>
      </c>
      <c r="F710" s="144">
        <v>0</v>
      </c>
      <c r="G710" s="291">
        <v>0</v>
      </c>
      <c r="H710" s="150">
        <v>0</v>
      </c>
      <c r="I710" s="567">
        <f t="shared" si="19"/>
        <v>0</v>
      </c>
    </row>
    <row r="711" spans="1:9" x14ac:dyDescent="0.15">
      <c r="A711" s="138"/>
      <c r="B711" s="523" t="s">
        <v>120</v>
      </c>
      <c r="C711" s="524" t="s">
        <v>121</v>
      </c>
      <c r="D711" s="144">
        <v>0</v>
      </c>
      <c r="E711" s="144">
        <v>0</v>
      </c>
      <c r="F711" s="144">
        <v>0</v>
      </c>
      <c r="G711" s="291">
        <v>0</v>
      </c>
      <c r="H711" s="150">
        <v>0</v>
      </c>
      <c r="I711" s="567">
        <f t="shared" si="19"/>
        <v>0</v>
      </c>
    </row>
    <row r="712" spans="1:9" x14ac:dyDescent="0.15">
      <c r="A712" s="138"/>
      <c r="B712" s="523" t="s">
        <v>122</v>
      </c>
      <c r="C712" s="524" t="s">
        <v>123</v>
      </c>
      <c r="D712" s="144">
        <v>0</v>
      </c>
      <c r="E712" s="144">
        <v>0</v>
      </c>
      <c r="F712" s="144">
        <v>0</v>
      </c>
      <c r="G712" s="291">
        <v>0</v>
      </c>
      <c r="H712" s="150">
        <v>0</v>
      </c>
      <c r="I712" s="567">
        <f t="shared" si="19"/>
        <v>0</v>
      </c>
    </row>
    <row r="713" spans="1:9" x14ac:dyDescent="0.15">
      <c r="A713" s="138"/>
      <c r="B713" s="523" t="s">
        <v>1581</v>
      </c>
      <c r="C713" s="524" t="s">
        <v>124</v>
      </c>
      <c r="D713" s="144">
        <v>0</v>
      </c>
      <c r="E713" s="144">
        <v>0</v>
      </c>
      <c r="F713" s="144">
        <v>0</v>
      </c>
      <c r="G713" s="291">
        <v>0</v>
      </c>
      <c r="H713" s="150">
        <v>0</v>
      </c>
      <c r="I713" s="567">
        <f t="shared" si="19"/>
        <v>0</v>
      </c>
    </row>
    <row r="714" spans="1:9" x14ac:dyDescent="0.15">
      <c r="A714" s="138"/>
      <c r="B714" s="523" t="s">
        <v>127</v>
      </c>
      <c r="C714" s="524" t="s">
        <v>134</v>
      </c>
      <c r="D714" s="144">
        <v>0</v>
      </c>
      <c r="E714" s="144">
        <v>0</v>
      </c>
      <c r="F714" s="144">
        <v>0</v>
      </c>
      <c r="G714" s="291">
        <v>0</v>
      </c>
      <c r="H714" s="150">
        <v>0</v>
      </c>
      <c r="I714" s="567">
        <f t="shared" si="19"/>
        <v>0</v>
      </c>
    </row>
    <row r="715" spans="1:9" x14ac:dyDescent="0.15">
      <c r="A715" s="138"/>
      <c r="B715" s="523" t="s">
        <v>128</v>
      </c>
      <c r="C715" s="524" t="s">
        <v>135</v>
      </c>
      <c r="D715" s="144">
        <v>0</v>
      </c>
      <c r="E715" s="144">
        <v>0</v>
      </c>
      <c r="F715" s="144">
        <v>0</v>
      </c>
      <c r="G715" s="291">
        <v>0</v>
      </c>
      <c r="H715" s="150">
        <v>0</v>
      </c>
      <c r="I715" s="567">
        <f t="shared" si="19"/>
        <v>0</v>
      </c>
    </row>
    <row r="716" spans="1:9" x14ac:dyDescent="0.15">
      <c r="A716" s="138"/>
      <c r="B716" s="523" t="s">
        <v>132</v>
      </c>
      <c r="C716" s="524" t="s">
        <v>1617</v>
      </c>
      <c r="D716" s="144">
        <v>0</v>
      </c>
      <c r="E716" s="144">
        <v>0</v>
      </c>
      <c r="F716" s="144">
        <v>0</v>
      </c>
      <c r="G716" s="291">
        <v>0</v>
      </c>
      <c r="H716" s="150">
        <v>0</v>
      </c>
      <c r="I716" s="567">
        <f t="shared" si="19"/>
        <v>0</v>
      </c>
    </row>
    <row r="717" spans="1:9" x14ac:dyDescent="0.15">
      <c r="A717" s="138"/>
      <c r="B717" s="523" t="s">
        <v>1618</v>
      </c>
      <c r="C717" s="524" t="s">
        <v>836</v>
      </c>
      <c r="D717" s="144">
        <v>0</v>
      </c>
      <c r="E717" s="144">
        <v>0</v>
      </c>
      <c r="F717" s="144">
        <v>0</v>
      </c>
      <c r="G717" s="291">
        <v>0</v>
      </c>
      <c r="H717" s="150">
        <v>0</v>
      </c>
      <c r="I717" s="567">
        <f t="shared" si="19"/>
        <v>0</v>
      </c>
    </row>
    <row r="718" spans="1:9" x14ac:dyDescent="0.15">
      <c r="A718" s="138"/>
      <c r="B718" s="523" t="s">
        <v>1619</v>
      </c>
      <c r="C718" s="524" t="s">
        <v>837</v>
      </c>
      <c r="D718" s="144">
        <v>0</v>
      </c>
      <c r="E718" s="144">
        <v>0</v>
      </c>
      <c r="F718" s="144">
        <v>0</v>
      </c>
      <c r="G718" s="291">
        <v>0</v>
      </c>
      <c r="H718" s="150">
        <v>0</v>
      </c>
      <c r="I718" s="567">
        <f t="shared" si="19"/>
        <v>0</v>
      </c>
    </row>
    <row r="719" spans="1:9" x14ac:dyDescent="0.15">
      <c r="A719" s="138"/>
      <c r="B719" s="523" t="s">
        <v>1620</v>
      </c>
      <c r="C719" s="524" t="s">
        <v>838</v>
      </c>
      <c r="D719" s="144">
        <v>0</v>
      </c>
      <c r="E719" s="144">
        <v>0</v>
      </c>
      <c r="F719" s="144">
        <v>0</v>
      </c>
      <c r="G719" s="291">
        <v>0</v>
      </c>
      <c r="H719" s="150">
        <v>0</v>
      </c>
      <c r="I719" s="567">
        <f t="shared" si="19"/>
        <v>0</v>
      </c>
    </row>
    <row r="720" spans="1:9" x14ac:dyDescent="0.15">
      <c r="A720" s="138"/>
      <c r="B720" s="523" t="s">
        <v>1621</v>
      </c>
      <c r="C720" s="524" t="s">
        <v>839</v>
      </c>
      <c r="D720" s="144">
        <v>0</v>
      </c>
      <c r="E720" s="144">
        <v>0</v>
      </c>
      <c r="F720" s="144">
        <v>0</v>
      </c>
      <c r="G720" s="291">
        <v>0</v>
      </c>
      <c r="H720" s="150">
        <v>0</v>
      </c>
      <c r="I720" s="567">
        <f t="shared" si="19"/>
        <v>0</v>
      </c>
    </row>
    <row r="721" spans="1:9" x14ac:dyDescent="0.15">
      <c r="A721" s="138"/>
      <c r="B721" s="523" t="s">
        <v>1622</v>
      </c>
      <c r="C721" s="524" t="s">
        <v>190</v>
      </c>
      <c r="D721" s="144">
        <v>0</v>
      </c>
      <c r="E721" s="144">
        <v>0</v>
      </c>
      <c r="F721" s="144">
        <v>0</v>
      </c>
      <c r="G721" s="291">
        <v>0</v>
      </c>
      <c r="H721" s="150">
        <v>0</v>
      </c>
      <c r="I721" s="567">
        <f t="shared" si="19"/>
        <v>0</v>
      </c>
    </row>
    <row r="722" spans="1:9" x14ac:dyDescent="0.15">
      <c r="A722" s="138"/>
      <c r="B722" s="523" t="s">
        <v>1623</v>
      </c>
      <c r="C722" s="524" t="s">
        <v>191</v>
      </c>
      <c r="D722" s="144">
        <v>0</v>
      </c>
      <c r="E722" s="144">
        <v>0</v>
      </c>
      <c r="F722" s="144">
        <v>0</v>
      </c>
      <c r="G722" s="291">
        <v>0</v>
      </c>
      <c r="H722" s="150">
        <v>0</v>
      </c>
      <c r="I722" s="567">
        <f t="shared" si="19"/>
        <v>0</v>
      </c>
    </row>
    <row r="723" spans="1:9" x14ac:dyDescent="0.15">
      <c r="A723" s="138"/>
      <c r="B723" s="523" t="s">
        <v>1624</v>
      </c>
      <c r="C723" s="524" t="s">
        <v>840</v>
      </c>
      <c r="D723" s="144">
        <v>0</v>
      </c>
      <c r="E723" s="144">
        <v>0</v>
      </c>
      <c r="F723" s="144">
        <v>0</v>
      </c>
      <c r="G723" s="291">
        <v>0</v>
      </c>
      <c r="H723" s="150">
        <v>0</v>
      </c>
      <c r="I723" s="567">
        <f t="shared" si="19"/>
        <v>0</v>
      </c>
    </row>
    <row r="724" spans="1:9" x14ac:dyDescent="0.15">
      <c r="A724" s="138"/>
      <c r="B724" s="523" t="s">
        <v>1625</v>
      </c>
      <c r="C724" s="524" t="s">
        <v>842</v>
      </c>
      <c r="D724" s="144">
        <v>0</v>
      </c>
      <c r="E724" s="144">
        <v>0</v>
      </c>
      <c r="F724" s="144">
        <v>0</v>
      </c>
      <c r="G724" s="291">
        <v>0</v>
      </c>
      <c r="H724" s="150">
        <v>0</v>
      </c>
      <c r="I724" s="567">
        <f t="shared" si="19"/>
        <v>0</v>
      </c>
    </row>
    <row r="725" spans="1:9" x14ac:dyDescent="0.15">
      <c r="A725" s="138"/>
      <c r="B725" s="523" t="s">
        <v>843</v>
      </c>
      <c r="C725" s="524" t="s">
        <v>848</v>
      </c>
      <c r="D725" s="144">
        <v>0</v>
      </c>
      <c r="E725" s="144">
        <v>0</v>
      </c>
      <c r="F725" s="144">
        <v>0</v>
      </c>
      <c r="G725" s="291">
        <v>0</v>
      </c>
      <c r="H725" s="150">
        <v>0</v>
      </c>
      <c r="I725" s="567">
        <f t="shared" si="19"/>
        <v>0</v>
      </c>
    </row>
    <row r="726" spans="1:9" x14ac:dyDescent="0.15">
      <c r="A726" s="138"/>
      <c r="B726" s="523" t="s">
        <v>844</v>
      </c>
      <c r="C726" s="524" t="s">
        <v>153</v>
      </c>
      <c r="D726" s="144">
        <v>0</v>
      </c>
      <c r="E726" s="144">
        <v>0</v>
      </c>
      <c r="F726" s="144">
        <v>0</v>
      </c>
      <c r="G726" s="291">
        <v>0</v>
      </c>
      <c r="H726" s="150">
        <v>0</v>
      </c>
      <c r="I726" s="567">
        <f t="shared" si="19"/>
        <v>0</v>
      </c>
    </row>
    <row r="727" spans="1:9" x14ac:dyDescent="0.15">
      <c r="A727" s="138"/>
      <c r="B727" s="523" t="s">
        <v>845</v>
      </c>
      <c r="C727" s="524" t="s">
        <v>154</v>
      </c>
      <c r="D727" s="144">
        <v>0</v>
      </c>
      <c r="E727" s="144">
        <v>0</v>
      </c>
      <c r="F727" s="144">
        <v>0</v>
      </c>
      <c r="G727" s="291">
        <v>0</v>
      </c>
      <c r="H727" s="150">
        <v>0</v>
      </c>
      <c r="I727" s="567">
        <f t="shared" si="19"/>
        <v>0</v>
      </c>
    </row>
    <row r="728" spans="1:9" x14ac:dyDescent="0.15">
      <c r="A728" s="138"/>
      <c r="B728" s="523" t="s">
        <v>846</v>
      </c>
      <c r="C728" s="524" t="s">
        <v>155</v>
      </c>
      <c r="D728" s="144">
        <v>0</v>
      </c>
      <c r="E728" s="144">
        <v>0</v>
      </c>
      <c r="F728" s="144">
        <v>0</v>
      </c>
      <c r="G728" s="291">
        <v>0</v>
      </c>
      <c r="H728" s="150">
        <v>0</v>
      </c>
      <c r="I728" s="567">
        <f t="shared" si="19"/>
        <v>0</v>
      </c>
    </row>
    <row r="729" spans="1:9" x14ac:dyDescent="0.15">
      <c r="A729" s="138"/>
      <c r="B729" s="523" t="s">
        <v>1582</v>
      </c>
      <c r="C729" s="524" t="s">
        <v>156</v>
      </c>
      <c r="D729" s="144">
        <v>0</v>
      </c>
      <c r="E729" s="144">
        <v>0</v>
      </c>
      <c r="F729" s="144">
        <v>0</v>
      </c>
      <c r="G729" s="291">
        <v>0</v>
      </c>
      <c r="H729" s="150">
        <v>0</v>
      </c>
      <c r="I729" s="567">
        <f t="shared" si="19"/>
        <v>0</v>
      </c>
    </row>
    <row r="730" spans="1:9" x14ac:dyDescent="0.15">
      <c r="A730" s="138"/>
      <c r="B730" s="523" t="s">
        <v>847</v>
      </c>
      <c r="C730" s="524" t="s">
        <v>157</v>
      </c>
      <c r="D730" s="144">
        <v>0</v>
      </c>
      <c r="E730" s="144">
        <v>0</v>
      </c>
      <c r="F730" s="144">
        <v>0</v>
      </c>
      <c r="G730" s="291">
        <v>0</v>
      </c>
      <c r="H730" s="150">
        <v>0</v>
      </c>
      <c r="I730" s="567">
        <f t="shared" si="19"/>
        <v>0</v>
      </c>
    </row>
    <row r="731" spans="1:9" x14ac:dyDescent="0.15">
      <c r="A731" s="138"/>
      <c r="B731" s="523" t="s">
        <v>1583</v>
      </c>
      <c r="C731" s="524" t="s">
        <v>160</v>
      </c>
      <c r="D731" s="144">
        <v>0</v>
      </c>
      <c r="E731" s="144">
        <v>0</v>
      </c>
      <c r="F731" s="144">
        <v>0</v>
      </c>
      <c r="G731" s="291">
        <v>0</v>
      </c>
      <c r="H731" s="150">
        <v>0</v>
      </c>
      <c r="I731" s="567">
        <f t="shared" si="19"/>
        <v>0</v>
      </c>
    </row>
    <row r="732" spans="1:9" x14ac:dyDescent="0.15">
      <c r="A732" s="138"/>
      <c r="B732" s="523" t="s">
        <v>634</v>
      </c>
      <c r="C732" s="524" t="s">
        <v>165</v>
      </c>
      <c r="D732" s="144">
        <v>0</v>
      </c>
      <c r="E732" s="144">
        <v>0</v>
      </c>
      <c r="F732" s="144">
        <v>0</v>
      </c>
      <c r="G732" s="291">
        <v>0</v>
      </c>
      <c r="H732" s="150">
        <v>0</v>
      </c>
      <c r="I732" s="567">
        <f t="shared" si="19"/>
        <v>0</v>
      </c>
    </row>
    <row r="733" spans="1:9" x14ac:dyDescent="0.15">
      <c r="A733" s="138"/>
      <c r="B733" s="523" t="s">
        <v>630</v>
      </c>
      <c r="C733" s="524" t="s">
        <v>172</v>
      </c>
      <c r="D733" s="144">
        <v>0</v>
      </c>
      <c r="E733" s="144">
        <v>0</v>
      </c>
      <c r="F733" s="144">
        <v>0</v>
      </c>
      <c r="G733" s="291">
        <v>0</v>
      </c>
      <c r="H733" s="150">
        <v>0</v>
      </c>
      <c r="I733" s="567">
        <f t="shared" si="19"/>
        <v>0</v>
      </c>
    </row>
    <row r="734" spans="1:9" x14ac:dyDescent="0.15">
      <c r="A734" s="138"/>
      <c r="B734" s="650" t="s">
        <v>631</v>
      </c>
      <c r="C734" s="651" t="s">
        <v>173</v>
      </c>
      <c r="D734" s="144">
        <v>0</v>
      </c>
      <c r="E734" s="144">
        <v>0</v>
      </c>
      <c r="F734" s="144">
        <v>0</v>
      </c>
      <c r="G734" s="291">
        <v>0</v>
      </c>
      <c r="H734" s="150">
        <v>0</v>
      </c>
      <c r="I734" s="567">
        <f t="shared" si="19"/>
        <v>0</v>
      </c>
    </row>
    <row r="735" spans="1:9" x14ac:dyDescent="0.15">
      <c r="A735" s="138"/>
      <c r="B735" s="523" t="s">
        <v>1584</v>
      </c>
      <c r="C735" s="524" t="s">
        <v>178</v>
      </c>
      <c r="D735" s="144">
        <v>0</v>
      </c>
      <c r="E735" s="144">
        <v>0</v>
      </c>
      <c r="F735" s="144">
        <v>0</v>
      </c>
      <c r="G735" s="291">
        <v>0</v>
      </c>
      <c r="H735" s="150">
        <v>0</v>
      </c>
      <c r="I735" s="567">
        <f t="shared" si="19"/>
        <v>0</v>
      </c>
    </row>
    <row r="736" spans="1:9" x14ac:dyDescent="0.15">
      <c r="A736" s="138"/>
      <c r="B736" s="523" t="s">
        <v>174</v>
      </c>
      <c r="C736" s="524" t="s">
        <v>179</v>
      </c>
      <c r="D736" s="144">
        <v>0</v>
      </c>
      <c r="E736" s="144">
        <v>0</v>
      </c>
      <c r="F736" s="144">
        <v>0</v>
      </c>
      <c r="G736" s="291">
        <v>0</v>
      </c>
      <c r="H736" s="150">
        <v>0</v>
      </c>
      <c r="I736" s="567">
        <f t="shared" si="19"/>
        <v>0</v>
      </c>
    </row>
    <row r="737" spans="1:9" x14ac:dyDescent="0.15">
      <c r="A737" s="138"/>
      <c r="B737" s="523" t="s">
        <v>175</v>
      </c>
      <c r="C737" s="524" t="s">
        <v>180</v>
      </c>
      <c r="D737" s="144">
        <v>0</v>
      </c>
      <c r="E737" s="144">
        <v>0</v>
      </c>
      <c r="F737" s="144">
        <v>0</v>
      </c>
      <c r="G737" s="291">
        <v>0</v>
      </c>
      <c r="H737" s="150">
        <v>0</v>
      </c>
      <c r="I737" s="567">
        <f t="shared" si="19"/>
        <v>0</v>
      </c>
    </row>
    <row r="738" spans="1:9" ht="11.25" thickBot="1" x14ac:dyDescent="0.2">
      <c r="A738" s="138"/>
      <c r="B738" s="523" t="s">
        <v>176</v>
      </c>
      <c r="C738" s="524" t="s">
        <v>181</v>
      </c>
      <c r="D738" s="144">
        <v>0</v>
      </c>
      <c r="E738" s="144">
        <v>0</v>
      </c>
      <c r="F738" s="144">
        <v>0</v>
      </c>
      <c r="G738" s="291">
        <v>0</v>
      </c>
      <c r="H738" s="150">
        <v>0</v>
      </c>
      <c r="I738" s="567">
        <f t="shared" si="19"/>
        <v>0</v>
      </c>
    </row>
    <row r="739" spans="1:9" ht="12" thickTop="1" thickBot="1" x14ac:dyDescent="0.2">
      <c r="A739" s="138"/>
      <c r="B739" s="523"/>
      <c r="C739" s="524" t="s">
        <v>373</v>
      </c>
      <c r="D739" s="169">
        <f>SUM(D705:D738)</f>
        <v>0</v>
      </c>
      <c r="E739" s="169">
        <f>SUM(E705:E738)</f>
        <v>0</v>
      </c>
      <c r="F739" s="169">
        <f>SUM(F705:F738)</f>
        <v>0</v>
      </c>
      <c r="G739" s="169">
        <f>SUM(G705:G738)</f>
        <v>0</v>
      </c>
      <c r="H739" s="169">
        <f>SUM(H705:H738)</f>
        <v>0</v>
      </c>
      <c r="I739" s="169">
        <f t="shared" si="19"/>
        <v>0</v>
      </c>
    </row>
    <row r="740" spans="1:9" ht="11.25" thickTop="1" x14ac:dyDescent="0.15">
      <c r="A740" s="138"/>
      <c r="B740" s="524"/>
      <c r="C740" s="524"/>
      <c r="D740" s="14"/>
      <c r="E740" s="14"/>
      <c r="F740" s="14"/>
      <c r="G740" s="14"/>
      <c r="H740" s="14"/>
      <c r="I740" s="563"/>
    </row>
    <row r="741" spans="1:9" x14ac:dyDescent="0.15">
      <c r="A741" s="522" t="s">
        <v>374</v>
      </c>
      <c r="B741" s="524"/>
      <c r="C741" s="524"/>
      <c r="D741" s="14"/>
      <c r="E741" s="14"/>
      <c r="F741" s="14"/>
      <c r="G741" s="14"/>
      <c r="H741" s="14"/>
      <c r="I741" s="563"/>
    </row>
    <row r="742" spans="1:9" x14ac:dyDescent="0.15">
      <c r="A742" s="434"/>
      <c r="B742" s="523" t="s">
        <v>1577</v>
      </c>
      <c r="C742" s="524" t="s">
        <v>228</v>
      </c>
      <c r="D742" s="316">
        <v>0</v>
      </c>
      <c r="E742" s="316">
        <v>0</v>
      </c>
      <c r="F742" s="316">
        <v>0</v>
      </c>
      <c r="G742" s="528">
        <f t="array" ref="G742">SUM(IF(CertFund&amp;CertProg&amp;CertObj=RIGHT(LEFT($A$2,7),2)&amp;LEFT(A741,4)&amp;B742,CertSalary))</f>
        <v>0</v>
      </c>
      <c r="H742" s="527">
        <v>0</v>
      </c>
      <c r="I742" s="566">
        <f>SUM(G742+H742)</f>
        <v>0</v>
      </c>
    </row>
    <row r="743" spans="1:9" x14ac:dyDescent="0.15">
      <c r="A743" s="434"/>
      <c r="B743" s="523" t="s">
        <v>1577</v>
      </c>
      <c r="C743" s="524" t="s">
        <v>510</v>
      </c>
      <c r="D743" s="316">
        <v>0</v>
      </c>
      <c r="E743" s="316">
        <v>0</v>
      </c>
      <c r="F743" s="316">
        <v>0</v>
      </c>
      <c r="G743" s="316">
        <v>0</v>
      </c>
      <c r="H743" s="527">
        <v>0</v>
      </c>
      <c r="I743" s="566">
        <f>SUM(G743+H743)</f>
        <v>0</v>
      </c>
    </row>
    <row r="744" spans="1:9" x14ac:dyDescent="0.15">
      <c r="A744" s="524"/>
      <c r="B744" s="523" t="s">
        <v>1578</v>
      </c>
      <c r="C744" s="524" t="s">
        <v>936</v>
      </c>
      <c r="D744" s="316">
        <v>0</v>
      </c>
      <c r="E744" s="316">
        <v>0</v>
      </c>
      <c r="F744" s="316">
        <v>0</v>
      </c>
      <c r="G744" s="529">
        <f t="array" ref="G744">SUM(IF(CertFund&amp;CertProg&amp;CertObj=RIGHT(LEFT($A$2,7),2)&amp;LEFT(A741,4)&amp;B742,CertBen))</f>
        <v>0</v>
      </c>
      <c r="H744" s="527">
        <v>0</v>
      </c>
      <c r="I744" s="566">
        <f>SUM(G744+H744)</f>
        <v>0</v>
      </c>
    </row>
    <row r="745" spans="1:9" x14ac:dyDescent="0.15">
      <c r="A745" s="138"/>
      <c r="B745" s="521" t="s">
        <v>1578</v>
      </c>
      <c r="C745" s="138" t="s">
        <v>511</v>
      </c>
      <c r="D745" s="147">
        <v>0</v>
      </c>
      <c r="E745" s="147">
        <v>0</v>
      </c>
      <c r="F745" s="147">
        <v>0</v>
      </c>
      <c r="G745" s="147">
        <v>0</v>
      </c>
      <c r="H745" s="150">
        <v>0</v>
      </c>
      <c r="I745" s="567">
        <f>SUM(G745+H745)</f>
        <v>0</v>
      </c>
    </row>
    <row r="746" spans="1:9" x14ac:dyDescent="0.15">
      <c r="A746" s="138"/>
      <c r="B746" s="523" t="s">
        <v>1579</v>
      </c>
      <c r="C746" s="524" t="s">
        <v>118</v>
      </c>
      <c r="D746" s="144">
        <v>0</v>
      </c>
      <c r="E746" s="144">
        <v>0</v>
      </c>
      <c r="F746" s="144">
        <v>0</v>
      </c>
      <c r="G746" s="144">
        <v>0</v>
      </c>
      <c r="H746" s="150">
        <v>0</v>
      </c>
      <c r="I746" s="567">
        <f t="shared" ref="I746:I776" si="20">SUM(G746+H746)</f>
        <v>0</v>
      </c>
    </row>
    <row r="747" spans="1:9" x14ac:dyDescent="0.15">
      <c r="A747" s="138"/>
      <c r="B747" s="523" t="s">
        <v>1580</v>
      </c>
      <c r="C747" s="524" t="s">
        <v>119</v>
      </c>
      <c r="D747" s="144">
        <v>0</v>
      </c>
      <c r="E747" s="144">
        <v>0</v>
      </c>
      <c r="F747" s="144">
        <v>0</v>
      </c>
      <c r="G747" s="144">
        <v>0</v>
      </c>
      <c r="H747" s="150">
        <v>0</v>
      </c>
      <c r="I747" s="567">
        <f t="shared" si="20"/>
        <v>0</v>
      </c>
    </row>
    <row r="748" spans="1:9" x14ac:dyDescent="0.15">
      <c r="A748" s="138"/>
      <c r="B748" s="523" t="s">
        <v>120</v>
      </c>
      <c r="C748" s="524" t="s">
        <v>121</v>
      </c>
      <c r="D748" s="144">
        <v>0</v>
      </c>
      <c r="E748" s="144">
        <v>0</v>
      </c>
      <c r="F748" s="144">
        <v>0</v>
      </c>
      <c r="G748" s="144">
        <v>0</v>
      </c>
      <c r="H748" s="150">
        <v>0</v>
      </c>
      <c r="I748" s="567">
        <f t="shared" si="20"/>
        <v>0</v>
      </c>
    </row>
    <row r="749" spans="1:9" x14ac:dyDescent="0.15">
      <c r="A749" s="138"/>
      <c r="B749" s="523" t="s">
        <v>122</v>
      </c>
      <c r="C749" s="524" t="s">
        <v>123</v>
      </c>
      <c r="D749" s="144">
        <v>0</v>
      </c>
      <c r="E749" s="144">
        <v>0</v>
      </c>
      <c r="F749" s="144">
        <v>0</v>
      </c>
      <c r="G749" s="144">
        <v>0</v>
      </c>
      <c r="H749" s="150">
        <v>0</v>
      </c>
      <c r="I749" s="567">
        <f t="shared" si="20"/>
        <v>0</v>
      </c>
    </row>
    <row r="750" spans="1:9" x14ac:dyDescent="0.15">
      <c r="A750" s="138"/>
      <c r="B750" s="523" t="s">
        <v>1581</v>
      </c>
      <c r="C750" s="524" t="s">
        <v>124</v>
      </c>
      <c r="D750" s="144">
        <v>0</v>
      </c>
      <c r="E750" s="144">
        <v>0</v>
      </c>
      <c r="F750" s="144">
        <v>0</v>
      </c>
      <c r="G750" s="144">
        <v>0</v>
      </c>
      <c r="H750" s="150">
        <v>0</v>
      </c>
      <c r="I750" s="567">
        <f t="shared" si="20"/>
        <v>0</v>
      </c>
    </row>
    <row r="751" spans="1:9" x14ac:dyDescent="0.15">
      <c r="A751" s="138"/>
      <c r="B751" s="523" t="s">
        <v>127</v>
      </c>
      <c r="C751" s="524" t="s">
        <v>134</v>
      </c>
      <c r="D751" s="144">
        <v>0</v>
      </c>
      <c r="E751" s="144">
        <v>0</v>
      </c>
      <c r="F751" s="144">
        <v>0</v>
      </c>
      <c r="G751" s="144">
        <v>0</v>
      </c>
      <c r="H751" s="150">
        <v>0</v>
      </c>
      <c r="I751" s="567">
        <f t="shared" si="20"/>
        <v>0</v>
      </c>
    </row>
    <row r="752" spans="1:9" x14ac:dyDescent="0.15">
      <c r="A752" s="138"/>
      <c r="B752" s="523" t="s">
        <v>128</v>
      </c>
      <c r="C752" s="524" t="s">
        <v>135</v>
      </c>
      <c r="D752" s="144">
        <v>0</v>
      </c>
      <c r="E752" s="144">
        <v>0</v>
      </c>
      <c r="F752" s="144">
        <v>0</v>
      </c>
      <c r="G752" s="144">
        <v>0</v>
      </c>
      <c r="H752" s="150">
        <v>0</v>
      </c>
      <c r="I752" s="567">
        <f t="shared" si="20"/>
        <v>0</v>
      </c>
    </row>
    <row r="753" spans="1:9" x14ac:dyDescent="0.15">
      <c r="A753" s="138"/>
      <c r="B753" s="523" t="s">
        <v>132</v>
      </c>
      <c r="C753" s="524" t="s">
        <v>1617</v>
      </c>
      <c r="D753" s="144">
        <v>0</v>
      </c>
      <c r="E753" s="144">
        <v>0</v>
      </c>
      <c r="F753" s="144">
        <v>0</v>
      </c>
      <c r="G753" s="144">
        <v>0</v>
      </c>
      <c r="H753" s="150">
        <v>0</v>
      </c>
      <c r="I753" s="567">
        <f t="shared" si="20"/>
        <v>0</v>
      </c>
    </row>
    <row r="754" spans="1:9" x14ac:dyDescent="0.15">
      <c r="A754" s="138"/>
      <c r="B754" s="523" t="s">
        <v>1618</v>
      </c>
      <c r="C754" s="524" t="s">
        <v>836</v>
      </c>
      <c r="D754" s="144">
        <v>0</v>
      </c>
      <c r="E754" s="144">
        <v>0</v>
      </c>
      <c r="F754" s="144">
        <v>0</v>
      </c>
      <c r="G754" s="144">
        <v>0</v>
      </c>
      <c r="H754" s="150">
        <v>0</v>
      </c>
      <c r="I754" s="567">
        <f t="shared" si="20"/>
        <v>0</v>
      </c>
    </row>
    <row r="755" spans="1:9" x14ac:dyDescent="0.15">
      <c r="A755" s="138"/>
      <c r="B755" s="523" t="s">
        <v>1619</v>
      </c>
      <c r="C755" s="524" t="s">
        <v>837</v>
      </c>
      <c r="D755" s="144">
        <v>0</v>
      </c>
      <c r="E755" s="144">
        <v>0</v>
      </c>
      <c r="F755" s="144">
        <v>0</v>
      </c>
      <c r="G755" s="144">
        <v>0</v>
      </c>
      <c r="H755" s="150">
        <v>0</v>
      </c>
      <c r="I755" s="567">
        <f t="shared" si="20"/>
        <v>0</v>
      </c>
    </row>
    <row r="756" spans="1:9" x14ac:dyDescent="0.15">
      <c r="A756" s="138"/>
      <c r="B756" s="523" t="s">
        <v>1620</v>
      </c>
      <c r="C756" s="524" t="s">
        <v>838</v>
      </c>
      <c r="D756" s="144">
        <v>0</v>
      </c>
      <c r="E756" s="144">
        <v>0</v>
      </c>
      <c r="F756" s="144">
        <v>0</v>
      </c>
      <c r="G756" s="144">
        <v>0</v>
      </c>
      <c r="H756" s="150">
        <v>0</v>
      </c>
      <c r="I756" s="567">
        <f t="shared" si="20"/>
        <v>0</v>
      </c>
    </row>
    <row r="757" spans="1:9" x14ac:dyDescent="0.15">
      <c r="A757" s="138"/>
      <c r="B757" s="523" t="s">
        <v>1621</v>
      </c>
      <c r="C757" s="524" t="s">
        <v>839</v>
      </c>
      <c r="D757" s="144">
        <v>0</v>
      </c>
      <c r="E757" s="144">
        <v>0</v>
      </c>
      <c r="F757" s="144">
        <v>0</v>
      </c>
      <c r="G757" s="144">
        <v>0</v>
      </c>
      <c r="H757" s="150">
        <v>0</v>
      </c>
      <c r="I757" s="567">
        <f t="shared" si="20"/>
        <v>0</v>
      </c>
    </row>
    <row r="758" spans="1:9" x14ac:dyDescent="0.15">
      <c r="A758" s="138"/>
      <c r="B758" s="523" t="s">
        <v>1622</v>
      </c>
      <c r="C758" s="524" t="s">
        <v>190</v>
      </c>
      <c r="D758" s="144">
        <v>0</v>
      </c>
      <c r="E758" s="144">
        <v>0</v>
      </c>
      <c r="F758" s="144">
        <v>0</v>
      </c>
      <c r="G758" s="144">
        <v>0</v>
      </c>
      <c r="H758" s="150">
        <v>0</v>
      </c>
      <c r="I758" s="567">
        <f t="shared" si="20"/>
        <v>0</v>
      </c>
    </row>
    <row r="759" spans="1:9" x14ac:dyDescent="0.15">
      <c r="A759" s="138"/>
      <c r="B759" s="523" t="s">
        <v>1623</v>
      </c>
      <c r="C759" s="524" t="s">
        <v>191</v>
      </c>
      <c r="D759" s="144">
        <v>0</v>
      </c>
      <c r="E759" s="144">
        <v>0</v>
      </c>
      <c r="F759" s="144">
        <v>0</v>
      </c>
      <c r="G759" s="144">
        <v>0</v>
      </c>
      <c r="H759" s="150">
        <v>0</v>
      </c>
      <c r="I759" s="567">
        <f t="shared" si="20"/>
        <v>0</v>
      </c>
    </row>
    <row r="760" spans="1:9" x14ac:dyDescent="0.15">
      <c r="A760" s="138"/>
      <c r="B760" s="523" t="s">
        <v>1624</v>
      </c>
      <c r="C760" s="524" t="s">
        <v>840</v>
      </c>
      <c r="D760" s="144">
        <v>0</v>
      </c>
      <c r="E760" s="144">
        <v>0</v>
      </c>
      <c r="F760" s="144">
        <v>0</v>
      </c>
      <c r="G760" s="144">
        <v>0</v>
      </c>
      <c r="H760" s="150">
        <v>0</v>
      </c>
      <c r="I760" s="567">
        <f t="shared" si="20"/>
        <v>0</v>
      </c>
    </row>
    <row r="761" spans="1:9" x14ac:dyDescent="0.15">
      <c r="A761" s="138"/>
      <c r="B761" s="523" t="s">
        <v>1625</v>
      </c>
      <c r="C761" s="524" t="s">
        <v>842</v>
      </c>
      <c r="D761" s="144">
        <v>0</v>
      </c>
      <c r="E761" s="144">
        <v>0</v>
      </c>
      <c r="F761" s="144">
        <v>0</v>
      </c>
      <c r="G761" s="144">
        <v>0</v>
      </c>
      <c r="H761" s="150">
        <v>0</v>
      </c>
      <c r="I761" s="567">
        <f t="shared" si="20"/>
        <v>0</v>
      </c>
    </row>
    <row r="762" spans="1:9" x14ac:dyDescent="0.15">
      <c r="A762" s="138"/>
      <c r="B762" s="523" t="s">
        <v>843</v>
      </c>
      <c r="C762" s="524" t="s">
        <v>848</v>
      </c>
      <c r="D762" s="144">
        <v>0</v>
      </c>
      <c r="E762" s="144">
        <v>0</v>
      </c>
      <c r="F762" s="144">
        <v>0</v>
      </c>
      <c r="G762" s="144">
        <v>0</v>
      </c>
      <c r="H762" s="150">
        <v>0</v>
      </c>
      <c r="I762" s="567">
        <f t="shared" si="20"/>
        <v>0</v>
      </c>
    </row>
    <row r="763" spans="1:9" x14ac:dyDescent="0.15">
      <c r="A763" s="138"/>
      <c r="B763" s="523" t="s">
        <v>844</v>
      </c>
      <c r="C763" s="524" t="s">
        <v>153</v>
      </c>
      <c r="D763" s="144">
        <v>0</v>
      </c>
      <c r="E763" s="144">
        <v>0</v>
      </c>
      <c r="F763" s="144">
        <v>0</v>
      </c>
      <c r="G763" s="144">
        <v>0</v>
      </c>
      <c r="H763" s="150">
        <v>0</v>
      </c>
      <c r="I763" s="567">
        <f t="shared" si="20"/>
        <v>0</v>
      </c>
    </row>
    <row r="764" spans="1:9" x14ac:dyDescent="0.15">
      <c r="A764" s="138"/>
      <c r="B764" s="523" t="s">
        <v>845</v>
      </c>
      <c r="C764" s="524" t="s">
        <v>154</v>
      </c>
      <c r="D764" s="144">
        <v>0</v>
      </c>
      <c r="E764" s="144">
        <v>0</v>
      </c>
      <c r="F764" s="144">
        <v>0</v>
      </c>
      <c r="G764" s="144">
        <v>0</v>
      </c>
      <c r="H764" s="150">
        <v>0</v>
      </c>
      <c r="I764" s="567">
        <f t="shared" si="20"/>
        <v>0</v>
      </c>
    </row>
    <row r="765" spans="1:9" x14ac:dyDescent="0.15">
      <c r="A765" s="138"/>
      <c r="B765" s="523" t="s">
        <v>846</v>
      </c>
      <c r="C765" s="524" t="s">
        <v>155</v>
      </c>
      <c r="D765" s="144">
        <v>0</v>
      </c>
      <c r="E765" s="144">
        <v>0</v>
      </c>
      <c r="F765" s="144">
        <v>0</v>
      </c>
      <c r="G765" s="144">
        <v>0</v>
      </c>
      <c r="H765" s="150">
        <v>0</v>
      </c>
      <c r="I765" s="567">
        <f t="shared" si="20"/>
        <v>0</v>
      </c>
    </row>
    <row r="766" spans="1:9" x14ac:dyDescent="0.15">
      <c r="A766" s="138"/>
      <c r="B766" s="523" t="s">
        <v>1582</v>
      </c>
      <c r="C766" s="524" t="s">
        <v>156</v>
      </c>
      <c r="D766" s="144">
        <v>0</v>
      </c>
      <c r="E766" s="144">
        <v>0</v>
      </c>
      <c r="F766" s="144">
        <v>0</v>
      </c>
      <c r="G766" s="144">
        <v>0</v>
      </c>
      <c r="H766" s="150">
        <v>0</v>
      </c>
      <c r="I766" s="567">
        <f t="shared" si="20"/>
        <v>0</v>
      </c>
    </row>
    <row r="767" spans="1:9" x14ac:dyDescent="0.15">
      <c r="A767" s="138"/>
      <c r="B767" s="523" t="s">
        <v>847</v>
      </c>
      <c r="C767" s="524" t="s">
        <v>157</v>
      </c>
      <c r="D767" s="144">
        <v>0</v>
      </c>
      <c r="E767" s="144">
        <v>0</v>
      </c>
      <c r="F767" s="144">
        <v>0</v>
      </c>
      <c r="G767" s="144">
        <v>0</v>
      </c>
      <c r="H767" s="150">
        <v>0</v>
      </c>
      <c r="I767" s="567">
        <f t="shared" si="20"/>
        <v>0</v>
      </c>
    </row>
    <row r="768" spans="1:9" x14ac:dyDescent="0.15">
      <c r="A768" s="138"/>
      <c r="B768" s="523" t="s">
        <v>1583</v>
      </c>
      <c r="C768" s="524" t="s">
        <v>160</v>
      </c>
      <c r="D768" s="144">
        <v>0</v>
      </c>
      <c r="E768" s="144">
        <v>0</v>
      </c>
      <c r="F768" s="144">
        <v>0</v>
      </c>
      <c r="G768" s="144">
        <v>0</v>
      </c>
      <c r="H768" s="150">
        <v>0</v>
      </c>
      <c r="I768" s="567">
        <f t="shared" si="20"/>
        <v>0</v>
      </c>
    </row>
    <row r="769" spans="1:9" x14ac:dyDescent="0.15">
      <c r="A769" s="138"/>
      <c r="B769" s="523" t="s">
        <v>634</v>
      </c>
      <c r="C769" s="524" t="s">
        <v>165</v>
      </c>
      <c r="D769" s="144">
        <v>0</v>
      </c>
      <c r="E769" s="144">
        <v>0</v>
      </c>
      <c r="F769" s="144">
        <v>0</v>
      </c>
      <c r="G769" s="144">
        <v>0</v>
      </c>
      <c r="H769" s="150">
        <v>0</v>
      </c>
      <c r="I769" s="567">
        <f t="shared" si="20"/>
        <v>0</v>
      </c>
    </row>
    <row r="770" spans="1:9" x14ac:dyDescent="0.15">
      <c r="A770" s="138"/>
      <c r="B770" s="523" t="s">
        <v>630</v>
      </c>
      <c r="C770" s="524" t="s">
        <v>172</v>
      </c>
      <c r="D770" s="144">
        <v>0</v>
      </c>
      <c r="E770" s="144">
        <v>0</v>
      </c>
      <c r="F770" s="144">
        <v>0</v>
      </c>
      <c r="G770" s="144">
        <v>0</v>
      </c>
      <c r="H770" s="150">
        <v>0</v>
      </c>
      <c r="I770" s="567">
        <f t="shared" si="20"/>
        <v>0</v>
      </c>
    </row>
    <row r="771" spans="1:9" x14ac:dyDescent="0.15">
      <c r="A771" s="138"/>
      <c r="B771" s="650" t="s">
        <v>631</v>
      </c>
      <c r="C771" s="651" t="s">
        <v>173</v>
      </c>
      <c r="D771" s="144">
        <v>0</v>
      </c>
      <c r="E771" s="144">
        <v>0</v>
      </c>
      <c r="F771" s="144">
        <v>0</v>
      </c>
      <c r="G771" s="144">
        <v>0</v>
      </c>
      <c r="H771" s="150">
        <v>0</v>
      </c>
      <c r="I771" s="567">
        <f t="shared" si="20"/>
        <v>0</v>
      </c>
    </row>
    <row r="772" spans="1:9" x14ac:dyDescent="0.15">
      <c r="A772" s="138"/>
      <c r="B772" s="523" t="s">
        <v>1584</v>
      </c>
      <c r="C772" s="524" t="s">
        <v>178</v>
      </c>
      <c r="D772" s="144">
        <v>0</v>
      </c>
      <c r="E772" s="144">
        <v>0</v>
      </c>
      <c r="F772" s="144">
        <v>0</v>
      </c>
      <c r="G772" s="144">
        <v>0</v>
      </c>
      <c r="H772" s="150">
        <v>0</v>
      </c>
      <c r="I772" s="567">
        <f t="shared" si="20"/>
        <v>0</v>
      </c>
    </row>
    <row r="773" spans="1:9" x14ac:dyDescent="0.15">
      <c r="A773" s="138"/>
      <c r="B773" s="523" t="s">
        <v>174</v>
      </c>
      <c r="C773" s="524" t="s">
        <v>179</v>
      </c>
      <c r="D773" s="144">
        <v>0</v>
      </c>
      <c r="E773" s="144">
        <v>0</v>
      </c>
      <c r="F773" s="144">
        <v>0</v>
      </c>
      <c r="G773" s="144">
        <v>0</v>
      </c>
      <c r="H773" s="150">
        <v>0</v>
      </c>
      <c r="I773" s="567">
        <f t="shared" si="20"/>
        <v>0</v>
      </c>
    </row>
    <row r="774" spans="1:9" x14ac:dyDescent="0.15">
      <c r="A774" s="138"/>
      <c r="B774" s="523" t="s">
        <v>175</v>
      </c>
      <c r="C774" s="524" t="s">
        <v>180</v>
      </c>
      <c r="D774" s="144">
        <v>0</v>
      </c>
      <c r="E774" s="144">
        <v>0</v>
      </c>
      <c r="F774" s="144">
        <v>0</v>
      </c>
      <c r="G774" s="144">
        <v>0</v>
      </c>
      <c r="H774" s="150">
        <v>0</v>
      </c>
      <c r="I774" s="567">
        <f t="shared" si="20"/>
        <v>0</v>
      </c>
    </row>
    <row r="775" spans="1:9" ht="11.25" thickBot="1" x14ac:dyDescent="0.2">
      <c r="A775" s="138"/>
      <c r="B775" s="523" t="s">
        <v>176</v>
      </c>
      <c r="C775" s="524" t="s">
        <v>181</v>
      </c>
      <c r="D775" s="144">
        <v>0</v>
      </c>
      <c r="E775" s="144">
        <v>0</v>
      </c>
      <c r="F775" s="144">
        <v>0</v>
      </c>
      <c r="G775" s="144">
        <v>0</v>
      </c>
      <c r="H775" s="150">
        <v>0</v>
      </c>
      <c r="I775" s="567">
        <f t="shared" si="20"/>
        <v>0</v>
      </c>
    </row>
    <row r="776" spans="1:9" ht="12" thickTop="1" thickBot="1" x14ac:dyDescent="0.2">
      <c r="A776" s="138"/>
      <c r="B776" s="523"/>
      <c r="C776" s="524" t="s">
        <v>375</v>
      </c>
      <c r="D776" s="169">
        <f>SUM(D742:D775)</f>
        <v>0</v>
      </c>
      <c r="E776" s="169">
        <f>SUM(E742:E775)</f>
        <v>0</v>
      </c>
      <c r="F776" s="169">
        <f>SUM(F742:F775)</f>
        <v>0</v>
      </c>
      <c r="G776" s="169">
        <f>SUM(G742:G775)</f>
        <v>0</v>
      </c>
      <c r="H776" s="169">
        <f>SUM(H742:H775)</f>
        <v>0</v>
      </c>
      <c r="I776" s="169">
        <f t="shared" si="20"/>
        <v>0</v>
      </c>
    </row>
    <row r="777" spans="1:9" ht="11.25" thickTop="1" x14ac:dyDescent="0.15">
      <c r="A777" s="138"/>
      <c r="B777" s="524"/>
      <c r="C777" s="524"/>
      <c r="D777" s="14"/>
      <c r="E777" s="14"/>
      <c r="F777" s="14"/>
      <c r="G777" s="14"/>
      <c r="H777" s="14"/>
      <c r="I777" s="563"/>
    </row>
    <row r="778" spans="1:9" x14ac:dyDescent="0.15">
      <c r="A778" s="522" t="s">
        <v>376</v>
      </c>
      <c r="B778" s="524"/>
      <c r="C778" s="524"/>
      <c r="D778" s="14"/>
      <c r="E778" s="14"/>
      <c r="F778" s="14"/>
      <c r="G778" s="14"/>
      <c r="H778" s="14"/>
      <c r="I778" s="563"/>
    </row>
    <row r="779" spans="1:9" x14ac:dyDescent="0.15">
      <c r="A779" s="434"/>
      <c r="B779" s="523" t="s">
        <v>1577</v>
      </c>
      <c r="C779" s="524" t="s">
        <v>228</v>
      </c>
      <c r="D779" s="316">
        <v>0</v>
      </c>
      <c r="E779" s="316">
        <v>0</v>
      </c>
      <c r="F779" s="316">
        <v>0</v>
      </c>
      <c r="G779" s="528">
        <f t="array" ref="G779">SUM(IF(CertFund&amp;CertProg&amp;CertObj=RIGHT(LEFT($A$2,7),2)&amp;LEFT(A778,4)&amp;B779,CertSalary))</f>
        <v>0</v>
      </c>
      <c r="H779" s="527">
        <v>0</v>
      </c>
      <c r="I779" s="566">
        <f>SUM(G779+H779)</f>
        <v>0</v>
      </c>
    </row>
    <row r="780" spans="1:9" x14ac:dyDescent="0.15">
      <c r="A780" s="434"/>
      <c r="B780" s="523" t="s">
        <v>1577</v>
      </c>
      <c r="C780" s="524" t="s">
        <v>510</v>
      </c>
      <c r="D780" s="316">
        <v>0</v>
      </c>
      <c r="E780" s="316">
        <v>0</v>
      </c>
      <c r="F780" s="316">
        <v>0</v>
      </c>
      <c r="G780" s="316">
        <v>0</v>
      </c>
      <c r="H780" s="527">
        <v>0</v>
      </c>
      <c r="I780" s="566">
        <f>SUM(G780+H780)</f>
        <v>0</v>
      </c>
    </row>
    <row r="781" spans="1:9" x14ac:dyDescent="0.15">
      <c r="A781" s="524"/>
      <c r="B781" s="523" t="s">
        <v>1578</v>
      </c>
      <c r="C781" s="524" t="s">
        <v>936</v>
      </c>
      <c r="D781" s="316">
        <v>0</v>
      </c>
      <c r="E781" s="316">
        <v>0</v>
      </c>
      <c r="F781" s="316">
        <v>0</v>
      </c>
      <c r="G781" s="529">
        <f t="array" ref="G781">SUM(IF(CertFund&amp;CertProg&amp;CertObj=RIGHT(LEFT($A$2,7),2)&amp;LEFT(A778,4)&amp;B779,CertBen))</f>
        <v>0</v>
      </c>
      <c r="H781" s="527">
        <v>0</v>
      </c>
      <c r="I781" s="566">
        <f>SUM(G781+H781)</f>
        <v>0</v>
      </c>
    </row>
    <row r="782" spans="1:9" x14ac:dyDescent="0.15">
      <c r="A782" s="138"/>
      <c r="B782" s="521" t="s">
        <v>1578</v>
      </c>
      <c r="C782" s="138" t="s">
        <v>511</v>
      </c>
      <c r="D782" s="147">
        <v>0</v>
      </c>
      <c r="E782" s="147">
        <v>0</v>
      </c>
      <c r="F782" s="147">
        <v>0</v>
      </c>
      <c r="G782" s="147">
        <v>0</v>
      </c>
      <c r="H782" s="150">
        <v>0</v>
      </c>
      <c r="I782" s="567">
        <f>SUM(G782+H782)</f>
        <v>0</v>
      </c>
    </row>
    <row r="783" spans="1:9" x14ac:dyDescent="0.15">
      <c r="A783" s="138"/>
      <c r="B783" s="523" t="s">
        <v>1579</v>
      </c>
      <c r="C783" s="524" t="s">
        <v>118</v>
      </c>
      <c r="D783" s="144">
        <v>0</v>
      </c>
      <c r="E783" s="144">
        <v>0</v>
      </c>
      <c r="F783" s="144">
        <v>0</v>
      </c>
      <c r="G783" s="144">
        <v>0</v>
      </c>
      <c r="H783" s="150">
        <v>0</v>
      </c>
      <c r="I783" s="567">
        <f t="shared" ref="I783:I813" si="21">SUM(G783+H783)</f>
        <v>0</v>
      </c>
    </row>
    <row r="784" spans="1:9" x14ac:dyDescent="0.15">
      <c r="A784" s="138"/>
      <c r="B784" s="523" t="s">
        <v>1580</v>
      </c>
      <c r="C784" s="524" t="s">
        <v>119</v>
      </c>
      <c r="D784" s="144">
        <v>0</v>
      </c>
      <c r="E784" s="144">
        <v>0</v>
      </c>
      <c r="F784" s="144">
        <v>0</v>
      </c>
      <c r="G784" s="144">
        <v>0</v>
      </c>
      <c r="H784" s="150">
        <v>0</v>
      </c>
      <c r="I784" s="567">
        <f t="shared" si="21"/>
        <v>0</v>
      </c>
    </row>
    <row r="785" spans="1:9" x14ac:dyDescent="0.15">
      <c r="A785" s="138"/>
      <c r="B785" s="523" t="s">
        <v>120</v>
      </c>
      <c r="C785" s="524" t="s">
        <v>121</v>
      </c>
      <c r="D785" s="144">
        <v>0</v>
      </c>
      <c r="E785" s="144">
        <v>0</v>
      </c>
      <c r="F785" s="144">
        <v>0</v>
      </c>
      <c r="G785" s="144">
        <v>0</v>
      </c>
      <c r="H785" s="150">
        <v>0</v>
      </c>
      <c r="I785" s="567">
        <f t="shared" si="21"/>
        <v>0</v>
      </c>
    </row>
    <row r="786" spans="1:9" x14ac:dyDescent="0.15">
      <c r="A786" s="138"/>
      <c r="B786" s="523" t="s">
        <v>122</v>
      </c>
      <c r="C786" s="524" t="s">
        <v>123</v>
      </c>
      <c r="D786" s="144">
        <v>0</v>
      </c>
      <c r="E786" s="144">
        <v>0</v>
      </c>
      <c r="F786" s="144">
        <v>0</v>
      </c>
      <c r="G786" s="144">
        <v>0</v>
      </c>
      <c r="H786" s="150">
        <v>0</v>
      </c>
      <c r="I786" s="567">
        <f t="shared" si="21"/>
        <v>0</v>
      </c>
    </row>
    <row r="787" spans="1:9" x14ac:dyDescent="0.15">
      <c r="A787" s="138"/>
      <c r="B787" s="523" t="s">
        <v>1581</v>
      </c>
      <c r="C787" s="524" t="s">
        <v>124</v>
      </c>
      <c r="D787" s="144">
        <v>0</v>
      </c>
      <c r="E787" s="144">
        <v>0</v>
      </c>
      <c r="F787" s="144">
        <v>0</v>
      </c>
      <c r="G787" s="144">
        <v>0</v>
      </c>
      <c r="H787" s="150">
        <v>0</v>
      </c>
      <c r="I787" s="567">
        <f t="shared" si="21"/>
        <v>0</v>
      </c>
    </row>
    <row r="788" spans="1:9" x14ac:dyDescent="0.15">
      <c r="A788" s="138"/>
      <c r="B788" s="523" t="s">
        <v>127</v>
      </c>
      <c r="C788" s="524" t="s">
        <v>134</v>
      </c>
      <c r="D788" s="144">
        <v>0</v>
      </c>
      <c r="E788" s="144">
        <v>0</v>
      </c>
      <c r="F788" s="144">
        <v>0</v>
      </c>
      <c r="G788" s="144">
        <v>0</v>
      </c>
      <c r="H788" s="150">
        <v>0</v>
      </c>
      <c r="I788" s="567">
        <f t="shared" si="21"/>
        <v>0</v>
      </c>
    </row>
    <row r="789" spans="1:9" x14ac:dyDescent="0.15">
      <c r="A789" s="138"/>
      <c r="B789" s="523" t="s">
        <v>128</v>
      </c>
      <c r="C789" s="524" t="s">
        <v>135</v>
      </c>
      <c r="D789" s="144">
        <v>0</v>
      </c>
      <c r="E789" s="144">
        <v>0</v>
      </c>
      <c r="F789" s="144">
        <v>0</v>
      </c>
      <c r="G789" s="144">
        <v>0</v>
      </c>
      <c r="H789" s="150">
        <v>0</v>
      </c>
      <c r="I789" s="567">
        <f t="shared" si="21"/>
        <v>0</v>
      </c>
    </row>
    <row r="790" spans="1:9" x14ac:dyDescent="0.15">
      <c r="A790" s="138"/>
      <c r="B790" s="523" t="s">
        <v>132</v>
      </c>
      <c r="C790" s="524" t="s">
        <v>1617</v>
      </c>
      <c r="D790" s="144">
        <v>0</v>
      </c>
      <c r="E790" s="144">
        <v>0</v>
      </c>
      <c r="F790" s="144">
        <v>0</v>
      </c>
      <c r="G790" s="144">
        <v>0</v>
      </c>
      <c r="H790" s="150">
        <v>0</v>
      </c>
      <c r="I790" s="567">
        <f t="shared" si="21"/>
        <v>0</v>
      </c>
    </row>
    <row r="791" spans="1:9" x14ac:dyDescent="0.15">
      <c r="A791" s="138"/>
      <c r="B791" s="523" t="s">
        <v>1618</v>
      </c>
      <c r="C791" s="524" t="s">
        <v>836</v>
      </c>
      <c r="D791" s="144">
        <v>0</v>
      </c>
      <c r="E791" s="144">
        <v>0</v>
      </c>
      <c r="F791" s="144">
        <v>0</v>
      </c>
      <c r="G791" s="144">
        <v>0</v>
      </c>
      <c r="H791" s="150">
        <v>0</v>
      </c>
      <c r="I791" s="567">
        <f t="shared" si="21"/>
        <v>0</v>
      </c>
    </row>
    <row r="792" spans="1:9" x14ac:dyDescent="0.15">
      <c r="A792" s="138"/>
      <c r="B792" s="523" t="s">
        <v>1619</v>
      </c>
      <c r="C792" s="524" t="s">
        <v>837</v>
      </c>
      <c r="D792" s="144">
        <v>0</v>
      </c>
      <c r="E792" s="144">
        <v>0</v>
      </c>
      <c r="F792" s="144">
        <v>0</v>
      </c>
      <c r="G792" s="144">
        <v>0</v>
      </c>
      <c r="H792" s="150">
        <v>0</v>
      </c>
      <c r="I792" s="567">
        <f t="shared" si="21"/>
        <v>0</v>
      </c>
    </row>
    <row r="793" spans="1:9" x14ac:dyDescent="0.15">
      <c r="A793" s="138"/>
      <c r="B793" s="523" t="s">
        <v>1620</v>
      </c>
      <c r="C793" s="524" t="s">
        <v>838</v>
      </c>
      <c r="D793" s="144">
        <v>0</v>
      </c>
      <c r="E793" s="144">
        <v>0</v>
      </c>
      <c r="F793" s="144">
        <v>0</v>
      </c>
      <c r="G793" s="144">
        <v>0</v>
      </c>
      <c r="H793" s="150">
        <v>0</v>
      </c>
      <c r="I793" s="567">
        <f t="shared" si="21"/>
        <v>0</v>
      </c>
    </row>
    <row r="794" spans="1:9" x14ac:dyDescent="0.15">
      <c r="A794" s="138"/>
      <c r="B794" s="523" t="s">
        <v>1621</v>
      </c>
      <c r="C794" s="524" t="s">
        <v>839</v>
      </c>
      <c r="D794" s="144">
        <v>0</v>
      </c>
      <c r="E794" s="144">
        <v>0</v>
      </c>
      <c r="F794" s="144">
        <v>0</v>
      </c>
      <c r="G794" s="144">
        <v>0</v>
      </c>
      <c r="H794" s="150">
        <v>0</v>
      </c>
      <c r="I794" s="567">
        <f t="shared" si="21"/>
        <v>0</v>
      </c>
    </row>
    <row r="795" spans="1:9" x14ac:dyDescent="0.15">
      <c r="A795" s="138"/>
      <c r="B795" s="523" t="s">
        <v>1622</v>
      </c>
      <c r="C795" s="524" t="s">
        <v>190</v>
      </c>
      <c r="D795" s="144">
        <v>0</v>
      </c>
      <c r="E795" s="144">
        <v>0</v>
      </c>
      <c r="F795" s="144">
        <v>0</v>
      </c>
      <c r="G795" s="144">
        <v>0</v>
      </c>
      <c r="H795" s="150">
        <v>0</v>
      </c>
      <c r="I795" s="567">
        <f t="shared" si="21"/>
        <v>0</v>
      </c>
    </row>
    <row r="796" spans="1:9" x14ac:dyDescent="0.15">
      <c r="A796" s="138"/>
      <c r="B796" s="523" t="s">
        <v>1623</v>
      </c>
      <c r="C796" s="524" t="s">
        <v>191</v>
      </c>
      <c r="D796" s="144">
        <v>0</v>
      </c>
      <c r="E796" s="144">
        <v>0</v>
      </c>
      <c r="F796" s="144">
        <v>0</v>
      </c>
      <c r="G796" s="144">
        <v>0</v>
      </c>
      <c r="H796" s="150">
        <v>0</v>
      </c>
      <c r="I796" s="567">
        <f t="shared" si="21"/>
        <v>0</v>
      </c>
    </row>
    <row r="797" spans="1:9" x14ac:dyDescent="0.15">
      <c r="A797" s="138"/>
      <c r="B797" s="523" t="s">
        <v>1624</v>
      </c>
      <c r="C797" s="524" t="s">
        <v>840</v>
      </c>
      <c r="D797" s="144">
        <v>0</v>
      </c>
      <c r="E797" s="144">
        <v>0</v>
      </c>
      <c r="F797" s="144">
        <v>0</v>
      </c>
      <c r="G797" s="144">
        <v>0</v>
      </c>
      <c r="H797" s="150">
        <v>0</v>
      </c>
      <c r="I797" s="567">
        <f t="shared" si="21"/>
        <v>0</v>
      </c>
    </row>
    <row r="798" spans="1:9" x14ac:dyDescent="0.15">
      <c r="A798" s="138"/>
      <c r="B798" s="523" t="s">
        <v>1625</v>
      </c>
      <c r="C798" s="524" t="s">
        <v>842</v>
      </c>
      <c r="D798" s="144">
        <v>0</v>
      </c>
      <c r="E798" s="144">
        <v>0</v>
      </c>
      <c r="F798" s="144">
        <v>0</v>
      </c>
      <c r="G798" s="144">
        <v>0</v>
      </c>
      <c r="H798" s="150">
        <v>0</v>
      </c>
      <c r="I798" s="567">
        <f t="shared" si="21"/>
        <v>0</v>
      </c>
    </row>
    <row r="799" spans="1:9" x14ac:dyDescent="0.15">
      <c r="A799" s="138"/>
      <c r="B799" s="523" t="s">
        <v>843</v>
      </c>
      <c r="C799" s="524" t="s">
        <v>848</v>
      </c>
      <c r="D799" s="144">
        <v>0</v>
      </c>
      <c r="E799" s="144">
        <v>0</v>
      </c>
      <c r="F799" s="144">
        <v>0</v>
      </c>
      <c r="G799" s="144">
        <v>0</v>
      </c>
      <c r="H799" s="150">
        <v>0</v>
      </c>
      <c r="I799" s="567">
        <f t="shared" si="21"/>
        <v>0</v>
      </c>
    </row>
    <row r="800" spans="1:9" x14ac:dyDescent="0.15">
      <c r="A800" s="138"/>
      <c r="B800" s="523" t="s">
        <v>844</v>
      </c>
      <c r="C800" s="524" t="s">
        <v>153</v>
      </c>
      <c r="D800" s="144">
        <v>0</v>
      </c>
      <c r="E800" s="144">
        <v>0</v>
      </c>
      <c r="F800" s="144">
        <v>0</v>
      </c>
      <c r="G800" s="144">
        <v>0</v>
      </c>
      <c r="H800" s="150">
        <v>0</v>
      </c>
      <c r="I800" s="567">
        <f t="shared" si="21"/>
        <v>0</v>
      </c>
    </row>
    <row r="801" spans="1:9" x14ac:dyDescent="0.15">
      <c r="A801" s="138"/>
      <c r="B801" s="523" t="s">
        <v>845</v>
      </c>
      <c r="C801" s="524" t="s">
        <v>154</v>
      </c>
      <c r="D801" s="144">
        <v>0</v>
      </c>
      <c r="E801" s="144">
        <v>0</v>
      </c>
      <c r="F801" s="144">
        <v>0</v>
      </c>
      <c r="G801" s="144">
        <v>0</v>
      </c>
      <c r="H801" s="150">
        <v>0</v>
      </c>
      <c r="I801" s="567">
        <f t="shared" si="21"/>
        <v>0</v>
      </c>
    </row>
    <row r="802" spans="1:9" x14ac:dyDescent="0.15">
      <c r="A802" s="138"/>
      <c r="B802" s="523" t="s">
        <v>846</v>
      </c>
      <c r="C802" s="524" t="s">
        <v>155</v>
      </c>
      <c r="D802" s="144">
        <v>0</v>
      </c>
      <c r="E802" s="144">
        <v>0</v>
      </c>
      <c r="F802" s="144">
        <v>0</v>
      </c>
      <c r="G802" s="144">
        <v>0</v>
      </c>
      <c r="H802" s="150">
        <v>0</v>
      </c>
      <c r="I802" s="567">
        <f t="shared" si="21"/>
        <v>0</v>
      </c>
    </row>
    <row r="803" spans="1:9" x14ac:dyDescent="0.15">
      <c r="A803" s="138"/>
      <c r="B803" s="523" t="s">
        <v>1582</v>
      </c>
      <c r="C803" s="524" t="s">
        <v>156</v>
      </c>
      <c r="D803" s="144">
        <v>0</v>
      </c>
      <c r="E803" s="144">
        <v>0</v>
      </c>
      <c r="F803" s="144">
        <v>0</v>
      </c>
      <c r="G803" s="144">
        <v>0</v>
      </c>
      <c r="H803" s="150">
        <v>0</v>
      </c>
      <c r="I803" s="567">
        <f t="shared" si="21"/>
        <v>0</v>
      </c>
    </row>
    <row r="804" spans="1:9" x14ac:dyDescent="0.15">
      <c r="A804" s="138"/>
      <c r="B804" s="523" t="s">
        <v>847</v>
      </c>
      <c r="C804" s="524" t="s">
        <v>157</v>
      </c>
      <c r="D804" s="144">
        <v>0</v>
      </c>
      <c r="E804" s="144">
        <v>0</v>
      </c>
      <c r="F804" s="144">
        <v>0</v>
      </c>
      <c r="G804" s="144">
        <v>0</v>
      </c>
      <c r="H804" s="150">
        <v>0</v>
      </c>
      <c r="I804" s="567">
        <f t="shared" si="21"/>
        <v>0</v>
      </c>
    </row>
    <row r="805" spans="1:9" x14ac:dyDescent="0.15">
      <c r="A805" s="138"/>
      <c r="B805" s="523" t="s">
        <v>1583</v>
      </c>
      <c r="C805" s="524" t="s">
        <v>160</v>
      </c>
      <c r="D805" s="144">
        <v>0</v>
      </c>
      <c r="E805" s="144">
        <v>0</v>
      </c>
      <c r="F805" s="144">
        <v>0</v>
      </c>
      <c r="G805" s="144">
        <v>0</v>
      </c>
      <c r="H805" s="150">
        <v>0</v>
      </c>
      <c r="I805" s="567">
        <f t="shared" si="21"/>
        <v>0</v>
      </c>
    </row>
    <row r="806" spans="1:9" x14ac:dyDescent="0.15">
      <c r="A806" s="138"/>
      <c r="B806" s="523" t="s">
        <v>634</v>
      </c>
      <c r="C806" s="524" t="s">
        <v>165</v>
      </c>
      <c r="D806" s="144">
        <v>0</v>
      </c>
      <c r="E806" s="144">
        <v>0</v>
      </c>
      <c r="F806" s="144">
        <v>0</v>
      </c>
      <c r="G806" s="144">
        <v>0</v>
      </c>
      <c r="H806" s="150">
        <v>0</v>
      </c>
      <c r="I806" s="567">
        <f t="shared" si="21"/>
        <v>0</v>
      </c>
    </row>
    <row r="807" spans="1:9" x14ac:dyDescent="0.15">
      <c r="A807" s="138"/>
      <c r="B807" s="523" t="s">
        <v>630</v>
      </c>
      <c r="C807" s="524" t="s">
        <v>172</v>
      </c>
      <c r="D807" s="144">
        <v>0</v>
      </c>
      <c r="E807" s="144">
        <v>0</v>
      </c>
      <c r="F807" s="144">
        <v>0</v>
      </c>
      <c r="G807" s="144">
        <v>0</v>
      </c>
      <c r="H807" s="150">
        <v>0</v>
      </c>
      <c r="I807" s="567">
        <f t="shared" si="21"/>
        <v>0</v>
      </c>
    </row>
    <row r="808" spans="1:9" x14ac:dyDescent="0.15">
      <c r="A808" s="138"/>
      <c r="B808" s="650" t="s">
        <v>631</v>
      </c>
      <c r="C808" s="651" t="s">
        <v>173</v>
      </c>
      <c r="D808" s="144">
        <v>0</v>
      </c>
      <c r="E808" s="144">
        <v>0</v>
      </c>
      <c r="F808" s="144">
        <v>0</v>
      </c>
      <c r="G808" s="144">
        <v>0</v>
      </c>
      <c r="H808" s="150">
        <v>0</v>
      </c>
      <c r="I808" s="567">
        <f t="shared" si="21"/>
        <v>0</v>
      </c>
    </row>
    <row r="809" spans="1:9" x14ac:dyDescent="0.15">
      <c r="A809" s="138"/>
      <c r="B809" s="523" t="s">
        <v>1584</v>
      </c>
      <c r="C809" s="524" t="s">
        <v>178</v>
      </c>
      <c r="D809" s="144">
        <v>0</v>
      </c>
      <c r="E809" s="144">
        <v>0</v>
      </c>
      <c r="F809" s="144">
        <v>0</v>
      </c>
      <c r="G809" s="144">
        <v>0</v>
      </c>
      <c r="H809" s="150">
        <v>0</v>
      </c>
      <c r="I809" s="567">
        <f t="shared" si="21"/>
        <v>0</v>
      </c>
    </row>
    <row r="810" spans="1:9" x14ac:dyDescent="0.15">
      <c r="A810" s="138"/>
      <c r="B810" s="523" t="s">
        <v>174</v>
      </c>
      <c r="C810" s="524" t="s">
        <v>179</v>
      </c>
      <c r="D810" s="144">
        <v>0</v>
      </c>
      <c r="E810" s="144">
        <v>0</v>
      </c>
      <c r="F810" s="144">
        <v>0</v>
      </c>
      <c r="G810" s="144">
        <v>0</v>
      </c>
      <c r="H810" s="150">
        <v>0</v>
      </c>
      <c r="I810" s="567">
        <f t="shared" si="21"/>
        <v>0</v>
      </c>
    </row>
    <row r="811" spans="1:9" x14ac:dyDescent="0.15">
      <c r="A811" s="138"/>
      <c r="B811" s="523" t="s">
        <v>175</v>
      </c>
      <c r="C811" s="524" t="s">
        <v>180</v>
      </c>
      <c r="D811" s="144">
        <v>0</v>
      </c>
      <c r="E811" s="144">
        <v>0</v>
      </c>
      <c r="F811" s="144">
        <v>0</v>
      </c>
      <c r="G811" s="144">
        <v>0</v>
      </c>
      <c r="H811" s="150">
        <v>0</v>
      </c>
      <c r="I811" s="567">
        <f t="shared" si="21"/>
        <v>0</v>
      </c>
    </row>
    <row r="812" spans="1:9" ht="11.25" thickBot="1" x14ac:dyDescent="0.2">
      <c r="A812" s="138"/>
      <c r="B812" s="523" t="s">
        <v>176</v>
      </c>
      <c r="C812" s="524" t="s">
        <v>181</v>
      </c>
      <c r="D812" s="144">
        <v>0</v>
      </c>
      <c r="E812" s="144">
        <v>0</v>
      </c>
      <c r="F812" s="144">
        <v>0</v>
      </c>
      <c r="G812" s="144">
        <v>0</v>
      </c>
      <c r="H812" s="150">
        <v>0</v>
      </c>
      <c r="I812" s="567">
        <f t="shared" si="21"/>
        <v>0</v>
      </c>
    </row>
    <row r="813" spans="1:9" ht="12" thickTop="1" thickBot="1" x14ac:dyDescent="0.2">
      <c r="A813" s="138"/>
      <c r="B813" s="523"/>
      <c r="C813" s="524" t="s">
        <v>377</v>
      </c>
      <c r="D813" s="169">
        <f>SUM(D779:D812)</f>
        <v>0</v>
      </c>
      <c r="E813" s="169">
        <f>SUM(E779:E812)</f>
        <v>0</v>
      </c>
      <c r="F813" s="169">
        <f>SUM(F779:F812)</f>
        <v>0</v>
      </c>
      <c r="G813" s="169">
        <f>SUM(G779:G812)</f>
        <v>0</v>
      </c>
      <c r="H813" s="169">
        <f>SUM(H779:H812)</f>
        <v>0</v>
      </c>
      <c r="I813" s="169">
        <f t="shared" si="21"/>
        <v>0</v>
      </c>
    </row>
    <row r="814" spans="1:9" ht="11.25" thickTop="1" x14ac:dyDescent="0.15">
      <c r="A814" s="138"/>
      <c r="B814" s="524"/>
      <c r="C814" s="524"/>
      <c r="D814" s="14"/>
      <c r="E814" s="14"/>
      <c r="F814" s="14"/>
      <c r="G814" s="14"/>
      <c r="H814" s="14"/>
      <c r="I814" s="563"/>
    </row>
    <row r="815" spans="1:9" x14ac:dyDescent="0.15">
      <c r="A815" s="522" t="s">
        <v>379</v>
      </c>
      <c r="B815" s="524"/>
      <c r="C815" s="524"/>
      <c r="D815" s="14"/>
      <c r="E815" s="14"/>
      <c r="F815" s="14"/>
      <c r="G815" s="14"/>
      <c r="H815" s="14"/>
      <c r="I815" s="563"/>
    </row>
    <row r="816" spans="1:9" x14ac:dyDescent="0.15">
      <c r="A816" s="434"/>
      <c r="B816" s="523" t="s">
        <v>1577</v>
      </c>
      <c r="C816" s="524" t="s">
        <v>228</v>
      </c>
      <c r="D816" s="316">
        <v>0</v>
      </c>
      <c r="E816" s="316">
        <v>0</v>
      </c>
      <c r="F816" s="316">
        <v>0</v>
      </c>
      <c r="G816" s="528">
        <f t="array" ref="G816">SUM(IF(CertFund&amp;CertProg&amp;CertObj=RIGHT(LEFT($A$2,7),2)&amp;LEFT(A815,4)&amp;B816,CertSalary))</f>
        <v>0</v>
      </c>
      <c r="H816" s="527">
        <v>0</v>
      </c>
      <c r="I816" s="566">
        <f>SUM(G816+H816)</f>
        <v>0</v>
      </c>
    </row>
    <row r="817" spans="1:9" x14ac:dyDescent="0.15">
      <c r="A817" s="434"/>
      <c r="B817" s="523" t="s">
        <v>1577</v>
      </c>
      <c r="C817" s="524" t="s">
        <v>510</v>
      </c>
      <c r="D817" s="316">
        <v>0</v>
      </c>
      <c r="E817" s="316">
        <v>0</v>
      </c>
      <c r="F817" s="316">
        <v>0</v>
      </c>
      <c r="G817" s="316">
        <v>0</v>
      </c>
      <c r="H817" s="527">
        <v>0</v>
      </c>
      <c r="I817" s="566">
        <f>SUM(G817+H817)</f>
        <v>0</v>
      </c>
    </row>
    <row r="818" spans="1:9" x14ac:dyDescent="0.15">
      <c r="A818" s="524"/>
      <c r="B818" s="523" t="s">
        <v>1578</v>
      </c>
      <c r="C818" s="524" t="s">
        <v>936</v>
      </c>
      <c r="D818" s="316">
        <v>0</v>
      </c>
      <c r="E818" s="316">
        <v>0</v>
      </c>
      <c r="F818" s="316">
        <v>0</v>
      </c>
      <c r="G818" s="529">
        <f t="array" ref="G818">SUM(IF(CertFund&amp;CertProg&amp;CertObj=RIGHT(LEFT($A$2,7),2)&amp;LEFT(A815,4)&amp;B816,CertBen))</f>
        <v>0</v>
      </c>
      <c r="H818" s="527">
        <v>0</v>
      </c>
      <c r="I818" s="566">
        <f>SUM(G818+H818)</f>
        <v>0</v>
      </c>
    </row>
    <row r="819" spans="1:9" x14ac:dyDescent="0.15">
      <c r="A819" s="138"/>
      <c r="B819" s="521" t="s">
        <v>1578</v>
      </c>
      <c r="C819" s="138" t="s">
        <v>511</v>
      </c>
      <c r="D819" s="147">
        <v>0</v>
      </c>
      <c r="E819" s="147">
        <v>0</v>
      </c>
      <c r="F819" s="147">
        <v>0</v>
      </c>
      <c r="G819" s="147">
        <v>0</v>
      </c>
      <c r="H819" s="150">
        <v>0</v>
      </c>
      <c r="I819" s="567">
        <f>SUM(G819+H819)</f>
        <v>0</v>
      </c>
    </row>
    <row r="820" spans="1:9" x14ac:dyDescent="0.15">
      <c r="A820" s="138"/>
      <c r="B820" s="523" t="s">
        <v>1579</v>
      </c>
      <c r="C820" s="524" t="s">
        <v>118</v>
      </c>
      <c r="D820" s="144">
        <v>0</v>
      </c>
      <c r="E820" s="144">
        <v>0</v>
      </c>
      <c r="F820" s="144">
        <v>0</v>
      </c>
      <c r="G820" s="144">
        <v>0</v>
      </c>
      <c r="H820" s="150">
        <v>0</v>
      </c>
      <c r="I820" s="567">
        <f t="shared" ref="I820:I850" si="22">SUM(G820+H820)</f>
        <v>0</v>
      </c>
    </row>
    <row r="821" spans="1:9" x14ac:dyDescent="0.15">
      <c r="A821" s="138"/>
      <c r="B821" s="523" t="s">
        <v>1580</v>
      </c>
      <c r="C821" s="524" t="s">
        <v>119</v>
      </c>
      <c r="D821" s="144">
        <v>0</v>
      </c>
      <c r="E821" s="144">
        <v>0</v>
      </c>
      <c r="F821" s="144">
        <v>0</v>
      </c>
      <c r="G821" s="144">
        <v>0</v>
      </c>
      <c r="H821" s="150">
        <v>0</v>
      </c>
      <c r="I821" s="567">
        <f t="shared" si="22"/>
        <v>0</v>
      </c>
    </row>
    <row r="822" spans="1:9" x14ac:dyDescent="0.15">
      <c r="A822" s="138"/>
      <c r="B822" s="523" t="s">
        <v>120</v>
      </c>
      <c r="C822" s="524" t="s">
        <v>121</v>
      </c>
      <c r="D822" s="144">
        <v>0</v>
      </c>
      <c r="E822" s="144">
        <v>0</v>
      </c>
      <c r="F822" s="144">
        <v>0</v>
      </c>
      <c r="G822" s="144">
        <v>0</v>
      </c>
      <c r="H822" s="150">
        <v>0</v>
      </c>
      <c r="I822" s="567">
        <f t="shared" si="22"/>
        <v>0</v>
      </c>
    </row>
    <row r="823" spans="1:9" x14ac:dyDescent="0.15">
      <c r="A823" s="138"/>
      <c r="B823" s="523" t="s">
        <v>122</v>
      </c>
      <c r="C823" s="524" t="s">
        <v>123</v>
      </c>
      <c r="D823" s="144">
        <v>0</v>
      </c>
      <c r="E823" s="144">
        <v>0</v>
      </c>
      <c r="F823" s="144">
        <v>0</v>
      </c>
      <c r="G823" s="144">
        <v>0</v>
      </c>
      <c r="H823" s="150">
        <v>0</v>
      </c>
      <c r="I823" s="567">
        <f t="shared" si="22"/>
        <v>0</v>
      </c>
    </row>
    <row r="824" spans="1:9" x14ac:dyDescent="0.15">
      <c r="A824" s="138"/>
      <c r="B824" s="523" t="s">
        <v>1581</v>
      </c>
      <c r="C824" s="524" t="s">
        <v>124</v>
      </c>
      <c r="D824" s="144">
        <v>0</v>
      </c>
      <c r="E824" s="144">
        <v>0</v>
      </c>
      <c r="F824" s="144">
        <v>0</v>
      </c>
      <c r="G824" s="144">
        <v>0</v>
      </c>
      <c r="H824" s="150">
        <v>0</v>
      </c>
      <c r="I824" s="567">
        <f t="shared" si="22"/>
        <v>0</v>
      </c>
    </row>
    <row r="825" spans="1:9" x14ac:dyDescent="0.15">
      <c r="A825" s="138"/>
      <c r="B825" s="523" t="s">
        <v>127</v>
      </c>
      <c r="C825" s="524" t="s">
        <v>134</v>
      </c>
      <c r="D825" s="144">
        <v>0</v>
      </c>
      <c r="E825" s="144">
        <v>0</v>
      </c>
      <c r="F825" s="144">
        <v>0</v>
      </c>
      <c r="G825" s="144">
        <v>0</v>
      </c>
      <c r="H825" s="150">
        <v>0</v>
      </c>
      <c r="I825" s="567">
        <f t="shared" si="22"/>
        <v>0</v>
      </c>
    </row>
    <row r="826" spans="1:9" x14ac:dyDescent="0.15">
      <c r="A826" s="138"/>
      <c r="B826" s="523" t="s">
        <v>128</v>
      </c>
      <c r="C826" s="524" t="s">
        <v>135</v>
      </c>
      <c r="D826" s="144">
        <v>0</v>
      </c>
      <c r="E826" s="144">
        <v>0</v>
      </c>
      <c r="F826" s="144">
        <v>0</v>
      </c>
      <c r="G826" s="144">
        <v>0</v>
      </c>
      <c r="H826" s="150">
        <v>0</v>
      </c>
      <c r="I826" s="567">
        <f t="shared" si="22"/>
        <v>0</v>
      </c>
    </row>
    <row r="827" spans="1:9" x14ac:dyDescent="0.15">
      <c r="A827" s="138"/>
      <c r="B827" s="523" t="s">
        <v>132</v>
      </c>
      <c r="C827" s="524" t="s">
        <v>1617</v>
      </c>
      <c r="D827" s="144">
        <v>0</v>
      </c>
      <c r="E827" s="144">
        <v>0</v>
      </c>
      <c r="F827" s="144">
        <v>0</v>
      </c>
      <c r="G827" s="144">
        <v>0</v>
      </c>
      <c r="H827" s="150">
        <v>0</v>
      </c>
      <c r="I827" s="567">
        <f t="shared" si="22"/>
        <v>0</v>
      </c>
    </row>
    <row r="828" spans="1:9" x14ac:dyDescent="0.15">
      <c r="A828" s="138"/>
      <c r="B828" s="523" t="s">
        <v>1618</v>
      </c>
      <c r="C828" s="524" t="s">
        <v>836</v>
      </c>
      <c r="D828" s="144">
        <v>0</v>
      </c>
      <c r="E828" s="144">
        <v>0</v>
      </c>
      <c r="F828" s="144">
        <v>0</v>
      </c>
      <c r="G828" s="144">
        <v>0</v>
      </c>
      <c r="H828" s="150">
        <v>0</v>
      </c>
      <c r="I828" s="567">
        <f t="shared" si="22"/>
        <v>0</v>
      </c>
    </row>
    <row r="829" spans="1:9" x14ac:dyDescent="0.15">
      <c r="A829" s="138"/>
      <c r="B829" s="523" t="s">
        <v>1619</v>
      </c>
      <c r="C829" s="524" t="s">
        <v>837</v>
      </c>
      <c r="D829" s="144">
        <v>0</v>
      </c>
      <c r="E829" s="144">
        <v>0</v>
      </c>
      <c r="F829" s="144">
        <v>0</v>
      </c>
      <c r="G829" s="144">
        <v>0</v>
      </c>
      <c r="H829" s="150">
        <v>0</v>
      </c>
      <c r="I829" s="567">
        <f t="shared" si="22"/>
        <v>0</v>
      </c>
    </row>
    <row r="830" spans="1:9" x14ac:dyDescent="0.15">
      <c r="A830" s="138"/>
      <c r="B830" s="523" t="s">
        <v>1620</v>
      </c>
      <c r="C830" s="524" t="s">
        <v>838</v>
      </c>
      <c r="D830" s="144">
        <v>0</v>
      </c>
      <c r="E830" s="144">
        <v>0</v>
      </c>
      <c r="F830" s="144">
        <v>0</v>
      </c>
      <c r="G830" s="144">
        <v>0</v>
      </c>
      <c r="H830" s="150">
        <v>0</v>
      </c>
      <c r="I830" s="567">
        <f t="shared" si="22"/>
        <v>0</v>
      </c>
    </row>
    <row r="831" spans="1:9" x14ac:dyDescent="0.15">
      <c r="A831" s="138"/>
      <c r="B831" s="523" t="s">
        <v>1621</v>
      </c>
      <c r="C831" s="524" t="s">
        <v>839</v>
      </c>
      <c r="D831" s="144">
        <v>0</v>
      </c>
      <c r="E831" s="144">
        <v>0</v>
      </c>
      <c r="F831" s="144">
        <v>0</v>
      </c>
      <c r="G831" s="144">
        <v>0</v>
      </c>
      <c r="H831" s="150">
        <v>0</v>
      </c>
      <c r="I831" s="567">
        <f t="shared" si="22"/>
        <v>0</v>
      </c>
    </row>
    <row r="832" spans="1:9" x14ac:dyDescent="0.15">
      <c r="A832" s="138"/>
      <c r="B832" s="523" t="s">
        <v>1622</v>
      </c>
      <c r="C832" s="524" t="s">
        <v>190</v>
      </c>
      <c r="D832" s="144">
        <v>0</v>
      </c>
      <c r="E832" s="144">
        <v>0</v>
      </c>
      <c r="F832" s="144">
        <v>0</v>
      </c>
      <c r="G832" s="144">
        <v>0</v>
      </c>
      <c r="H832" s="150">
        <v>0</v>
      </c>
      <c r="I832" s="567">
        <f t="shared" si="22"/>
        <v>0</v>
      </c>
    </row>
    <row r="833" spans="1:9" x14ac:dyDescent="0.15">
      <c r="A833" s="138"/>
      <c r="B833" s="523" t="s">
        <v>1623</v>
      </c>
      <c r="C833" s="524" t="s">
        <v>191</v>
      </c>
      <c r="D833" s="144">
        <v>0</v>
      </c>
      <c r="E833" s="144">
        <v>0</v>
      </c>
      <c r="F833" s="144">
        <v>0</v>
      </c>
      <c r="G833" s="144">
        <v>0</v>
      </c>
      <c r="H833" s="150">
        <v>0</v>
      </c>
      <c r="I833" s="567">
        <f t="shared" si="22"/>
        <v>0</v>
      </c>
    </row>
    <row r="834" spans="1:9" x14ac:dyDescent="0.15">
      <c r="A834" s="138"/>
      <c r="B834" s="523" t="s">
        <v>1624</v>
      </c>
      <c r="C834" s="524" t="s">
        <v>840</v>
      </c>
      <c r="D834" s="144">
        <v>0</v>
      </c>
      <c r="E834" s="144">
        <v>0</v>
      </c>
      <c r="F834" s="144">
        <v>0</v>
      </c>
      <c r="G834" s="144">
        <v>0</v>
      </c>
      <c r="H834" s="150">
        <v>0</v>
      </c>
      <c r="I834" s="567">
        <f t="shared" si="22"/>
        <v>0</v>
      </c>
    </row>
    <row r="835" spans="1:9" x14ac:dyDescent="0.15">
      <c r="A835" s="138"/>
      <c r="B835" s="523" t="s">
        <v>1625</v>
      </c>
      <c r="C835" s="524" t="s">
        <v>842</v>
      </c>
      <c r="D835" s="144">
        <v>0</v>
      </c>
      <c r="E835" s="144">
        <v>0</v>
      </c>
      <c r="F835" s="144">
        <v>0</v>
      </c>
      <c r="G835" s="144">
        <v>0</v>
      </c>
      <c r="H835" s="150">
        <v>0</v>
      </c>
      <c r="I835" s="567">
        <f t="shared" si="22"/>
        <v>0</v>
      </c>
    </row>
    <row r="836" spans="1:9" x14ac:dyDescent="0.15">
      <c r="A836" s="138"/>
      <c r="B836" s="523" t="s">
        <v>843</v>
      </c>
      <c r="C836" s="524" t="s">
        <v>848</v>
      </c>
      <c r="D836" s="144">
        <v>0</v>
      </c>
      <c r="E836" s="144">
        <v>0</v>
      </c>
      <c r="F836" s="144">
        <v>0</v>
      </c>
      <c r="G836" s="144">
        <v>0</v>
      </c>
      <c r="H836" s="150">
        <v>0</v>
      </c>
      <c r="I836" s="567">
        <f t="shared" si="22"/>
        <v>0</v>
      </c>
    </row>
    <row r="837" spans="1:9" x14ac:dyDescent="0.15">
      <c r="A837" s="138"/>
      <c r="B837" s="523" t="s">
        <v>844</v>
      </c>
      <c r="C837" s="524" t="s">
        <v>153</v>
      </c>
      <c r="D837" s="144">
        <v>0</v>
      </c>
      <c r="E837" s="144">
        <v>0</v>
      </c>
      <c r="F837" s="144">
        <v>0</v>
      </c>
      <c r="G837" s="144">
        <v>0</v>
      </c>
      <c r="H837" s="150">
        <v>0</v>
      </c>
      <c r="I837" s="567">
        <f t="shared" si="22"/>
        <v>0</v>
      </c>
    </row>
    <row r="838" spans="1:9" x14ac:dyDescent="0.15">
      <c r="A838" s="138"/>
      <c r="B838" s="523" t="s">
        <v>845</v>
      </c>
      <c r="C838" s="524" t="s">
        <v>154</v>
      </c>
      <c r="D838" s="144">
        <v>0</v>
      </c>
      <c r="E838" s="144">
        <v>0</v>
      </c>
      <c r="F838" s="144">
        <v>0</v>
      </c>
      <c r="G838" s="144">
        <v>0</v>
      </c>
      <c r="H838" s="150">
        <v>0</v>
      </c>
      <c r="I838" s="567">
        <f t="shared" si="22"/>
        <v>0</v>
      </c>
    </row>
    <row r="839" spans="1:9" x14ac:dyDescent="0.15">
      <c r="A839" s="138"/>
      <c r="B839" s="523" t="s">
        <v>846</v>
      </c>
      <c r="C839" s="524" t="s">
        <v>155</v>
      </c>
      <c r="D839" s="144">
        <v>0</v>
      </c>
      <c r="E839" s="144">
        <v>0</v>
      </c>
      <c r="F839" s="144">
        <v>0</v>
      </c>
      <c r="G839" s="144">
        <v>0</v>
      </c>
      <c r="H839" s="150">
        <v>0</v>
      </c>
      <c r="I839" s="567">
        <f t="shared" si="22"/>
        <v>0</v>
      </c>
    </row>
    <row r="840" spans="1:9" x14ac:dyDescent="0.15">
      <c r="A840" s="138"/>
      <c r="B840" s="523" t="s">
        <v>1582</v>
      </c>
      <c r="C840" s="524" t="s">
        <v>156</v>
      </c>
      <c r="D840" s="144">
        <v>0</v>
      </c>
      <c r="E840" s="144">
        <v>0</v>
      </c>
      <c r="F840" s="144">
        <v>0</v>
      </c>
      <c r="G840" s="144">
        <v>0</v>
      </c>
      <c r="H840" s="150">
        <v>0</v>
      </c>
      <c r="I840" s="567">
        <f t="shared" si="22"/>
        <v>0</v>
      </c>
    </row>
    <row r="841" spans="1:9" x14ac:dyDescent="0.15">
      <c r="A841" s="138"/>
      <c r="B841" s="523" t="s">
        <v>847</v>
      </c>
      <c r="C841" s="524" t="s">
        <v>157</v>
      </c>
      <c r="D841" s="144">
        <v>0</v>
      </c>
      <c r="E841" s="144">
        <v>0</v>
      </c>
      <c r="F841" s="144">
        <v>0</v>
      </c>
      <c r="G841" s="144">
        <v>0</v>
      </c>
      <c r="H841" s="150">
        <v>0</v>
      </c>
      <c r="I841" s="567">
        <f t="shared" si="22"/>
        <v>0</v>
      </c>
    </row>
    <row r="842" spans="1:9" x14ac:dyDescent="0.15">
      <c r="A842" s="138"/>
      <c r="B842" s="523" t="s">
        <v>1583</v>
      </c>
      <c r="C842" s="524" t="s">
        <v>160</v>
      </c>
      <c r="D842" s="144">
        <v>0</v>
      </c>
      <c r="E842" s="144">
        <v>0</v>
      </c>
      <c r="F842" s="144">
        <v>0</v>
      </c>
      <c r="G842" s="144">
        <v>0</v>
      </c>
      <c r="H842" s="150">
        <v>0</v>
      </c>
      <c r="I842" s="567">
        <f t="shared" si="22"/>
        <v>0</v>
      </c>
    </row>
    <row r="843" spans="1:9" x14ac:dyDescent="0.15">
      <c r="A843" s="138"/>
      <c r="B843" s="523" t="s">
        <v>634</v>
      </c>
      <c r="C843" s="524" t="s">
        <v>165</v>
      </c>
      <c r="D843" s="144">
        <v>0</v>
      </c>
      <c r="E843" s="144">
        <v>0</v>
      </c>
      <c r="F843" s="144">
        <v>0</v>
      </c>
      <c r="G843" s="144">
        <v>0</v>
      </c>
      <c r="H843" s="150">
        <v>0</v>
      </c>
      <c r="I843" s="567">
        <f t="shared" si="22"/>
        <v>0</v>
      </c>
    </row>
    <row r="844" spans="1:9" x14ac:dyDescent="0.15">
      <c r="A844" s="138"/>
      <c r="B844" s="523" t="s">
        <v>630</v>
      </c>
      <c r="C844" s="524" t="s">
        <v>172</v>
      </c>
      <c r="D844" s="144">
        <v>0</v>
      </c>
      <c r="E844" s="144">
        <v>0</v>
      </c>
      <c r="F844" s="144">
        <v>0</v>
      </c>
      <c r="G844" s="144">
        <v>0</v>
      </c>
      <c r="H844" s="150">
        <v>0</v>
      </c>
      <c r="I844" s="567">
        <f t="shared" si="22"/>
        <v>0</v>
      </c>
    </row>
    <row r="845" spans="1:9" x14ac:dyDescent="0.15">
      <c r="A845" s="138"/>
      <c r="B845" s="650" t="s">
        <v>631</v>
      </c>
      <c r="C845" s="651" t="s">
        <v>173</v>
      </c>
      <c r="D845" s="144">
        <v>0</v>
      </c>
      <c r="E845" s="144">
        <v>0</v>
      </c>
      <c r="F845" s="144">
        <v>0</v>
      </c>
      <c r="G845" s="144">
        <v>0</v>
      </c>
      <c r="H845" s="150">
        <v>0</v>
      </c>
      <c r="I845" s="567">
        <f t="shared" si="22"/>
        <v>0</v>
      </c>
    </row>
    <row r="846" spans="1:9" x14ac:dyDescent="0.15">
      <c r="A846" s="138"/>
      <c r="B846" s="523" t="s">
        <v>1584</v>
      </c>
      <c r="C846" s="524" t="s">
        <v>178</v>
      </c>
      <c r="D846" s="144">
        <v>0</v>
      </c>
      <c r="E846" s="144">
        <v>0</v>
      </c>
      <c r="F846" s="144">
        <v>0</v>
      </c>
      <c r="G846" s="144">
        <v>0</v>
      </c>
      <c r="H846" s="150">
        <v>0</v>
      </c>
      <c r="I846" s="567">
        <f t="shared" si="22"/>
        <v>0</v>
      </c>
    </row>
    <row r="847" spans="1:9" x14ac:dyDescent="0.15">
      <c r="A847" s="138"/>
      <c r="B847" s="523" t="s">
        <v>174</v>
      </c>
      <c r="C847" s="524" t="s">
        <v>179</v>
      </c>
      <c r="D847" s="144">
        <v>0</v>
      </c>
      <c r="E847" s="144">
        <v>0</v>
      </c>
      <c r="F847" s="144">
        <v>0</v>
      </c>
      <c r="G847" s="144">
        <v>0</v>
      </c>
      <c r="H847" s="150">
        <v>0</v>
      </c>
      <c r="I847" s="567">
        <f t="shared" si="22"/>
        <v>0</v>
      </c>
    </row>
    <row r="848" spans="1:9" x14ac:dyDescent="0.15">
      <c r="A848" s="138"/>
      <c r="B848" s="523" t="s">
        <v>175</v>
      </c>
      <c r="C848" s="524" t="s">
        <v>180</v>
      </c>
      <c r="D848" s="144">
        <v>0</v>
      </c>
      <c r="E848" s="144">
        <v>0</v>
      </c>
      <c r="F848" s="144">
        <v>0</v>
      </c>
      <c r="G848" s="144">
        <v>0</v>
      </c>
      <c r="H848" s="150">
        <v>0</v>
      </c>
      <c r="I848" s="567">
        <f t="shared" si="22"/>
        <v>0</v>
      </c>
    </row>
    <row r="849" spans="1:9" ht="11.25" thickBot="1" x14ac:dyDescent="0.2">
      <c r="A849" s="138"/>
      <c r="B849" s="523" t="s">
        <v>176</v>
      </c>
      <c r="C849" s="524" t="s">
        <v>181</v>
      </c>
      <c r="D849" s="144">
        <v>0</v>
      </c>
      <c r="E849" s="144">
        <v>0</v>
      </c>
      <c r="F849" s="144">
        <v>0</v>
      </c>
      <c r="G849" s="144">
        <v>0</v>
      </c>
      <c r="H849" s="150">
        <v>0</v>
      </c>
      <c r="I849" s="567">
        <f t="shared" si="22"/>
        <v>0</v>
      </c>
    </row>
    <row r="850" spans="1:9" ht="12" thickTop="1" thickBot="1" x14ac:dyDescent="0.2">
      <c r="A850" s="138"/>
      <c r="B850" s="523"/>
      <c r="C850" s="524" t="s">
        <v>378</v>
      </c>
      <c r="D850" s="169">
        <f>SUM(D816:D849)</f>
        <v>0</v>
      </c>
      <c r="E850" s="169">
        <f>SUM(E816:E849)</f>
        <v>0</v>
      </c>
      <c r="F850" s="169">
        <f>SUM(F816:F849)</f>
        <v>0</v>
      </c>
      <c r="G850" s="169">
        <f>SUM(G816:G849)</f>
        <v>0</v>
      </c>
      <c r="H850" s="169">
        <f>SUM(H816:H849)</f>
        <v>0</v>
      </c>
      <c r="I850" s="169">
        <f t="shared" si="22"/>
        <v>0</v>
      </c>
    </row>
    <row r="851" spans="1:9" ht="11.25" thickTop="1" x14ac:dyDescent="0.15">
      <c r="A851" s="138"/>
      <c r="B851" s="524"/>
      <c r="C851" s="524"/>
      <c r="D851" s="14"/>
      <c r="E851" s="14"/>
      <c r="F851" s="14"/>
      <c r="G851" s="14"/>
      <c r="H851" s="14"/>
      <c r="I851" s="563"/>
    </row>
    <row r="852" spans="1:9" x14ac:dyDescent="0.15">
      <c r="A852" s="522" t="s">
        <v>380</v>
      </c>
      <c r="B852" s="524"/>
      <c r="C852" s="524"/>
      <c r="D852" s="14"/>
      <c r="E852" s="14"/>
      <c r="F852" s="14"/>
      <c r="G852" s="14"/>
      <c r="H852" s="14"/>
      <c r="I852" s="563"/>
    </row>
    <row r="853" spans="1:9" x14ac:dyDescent="0.15">
      <c r="A853" s="434"/>
      <c r="B853" s="523" t="s">
        <v>1577</v>
      </c>
      <c r="C853" s="524" t="s">
        <v>228</v>
      </c>
      <c r="D853" s="316">
        <v>0</v>
      </c>
      <c r="E853" s="316">
        <v>0</v>
      </c>
      <c r="F853" s="316">
        <v>0</v>
      </c>
      <c r="G853" s="528">
        <f t="array" ref="G853">SUM(IF(CertFund&amp;CertProg&amp;CertObj=RIGHT(LEFT($A$2,7),2)&amp;LEFT(A852,4)&amp;B853,CertSalary))</f>
        <v>0</v>
      </c>
      <c r="H853" s="527">
        <v>0</v>
      </c>
      <c r="I853" s="566">
        <f>SUM(G853+H853)</f>
        <v>0</v>
      </c>
    </row>
    <row r="854" spans="1:9" x14ac:dyDescent="0.15">
      <c r="A854" s="434"/>
      <c r="B854" s="523" t="s">
        <v>1577</v>
      </c>
      <c r="C854" s="524" t="s">
        <v>510</v>
      </c>
      <c r="D854" s="316">
        <v>0</v>
      </c>
      <c r="E854" s="316">
        <v>0</v>
      </c>
      <c r="F854" s="316">
        <v>0</v>
      </c>
      <c r="G854" s="316">
        <v>0</v>
      </c>
      <c r="H854" s="527">
        <v>0</v>
      </c>
      <c r="I854" s="566">
        <f>SUM(G854+H854)</f>
        <v>0</v>
      </c>
    </row>
    <row r="855" spans="1:9" x14ac:dyDescent="0.15">
      <c r="A855" s="524"/>
      <c r="B855" s="523" t="s">
        <v>1578</v>
      </c>
      <c r="C855" s="524" t="s">
        <v>936</v>
      </c>
      <c r="D855" s="316">
        <v>0</v>
      </c>
      <c r="E855" s="316">
        <v>0</v>
      </c>
      <c r="F855" s="316">
        <v>0</v>
      </c>
      <c r="G855" s="529">
        <f t="array" ref="G855">SUM(IF(CertFund&amp;CertProg&amp;CertObj=RIGHT(LEFT($A$2,7),2)&amp;LEFT(A852,4)&amp;B853,CertBen))</f>
        <v>0</v>
      </c>
      <c r="H855" s="527">
        <v>0</v>
      </c>
      <c r="I855" s="566">
        <f>SUM(G855+H855)</f>
        <v>0</v>
      </c>
    </row>
    <row r="856" spans="1:9" x14ac:dyDescent="0.15">
      <c r="A856" s="138"/>
      <c r="B856" s="521" t="s">
        <v>1578</v>
      </c>
      <c r="C856" s="138" t="s">
        <v>511</v>
      </c>
      <c r="D856" s="147">
        <v>0</v>
      </c>
      <c r="E856" s="147">
        <v>0</v>
      </c>
      <c r="F856" s="147">
        <v>0</v>
      </c>
      <c r="G856" s="147">
        <v>0</v>
      </c>
      <c r="H856" s="150">
        <v>0</v>
      </c>
      <c r="I856" s="567">
        <f>SUM(G856+H856)</f>
        <v>0</v>
      </c>
    </row>
    <row r="857" spans="1:9" x14ac:dyDescent="0.15">
      <c r="A857" s="138"/>
      <c r="B857" s="523" t="s">
        <v>1579</v>
      </c>
      <c r="C857" s="524" t="s">
        <v>118</v>
      </c>
      <c r="D857" s="144">
        <v>0</v>
      </c>
      <c r="E857" s="144">
        <v>0</v>
      </c>
      <c r="F857" s="144">
        <v>0</v>
      </c>
      <c r="G857" s="291">
        <v>0</v>
      </c>
      <c r="H857" s="150">
        <v>0</v>
      </c>
      <c r="I857" s="567">
        <f t="shared" ref="I857:I887" si="23">SUM(G857+H857)</f>
        <v>0</v>
      </c>
    </row>
    <row r="858" spans="1:9" x14ac:dyDescent="0.15">
      <c r="A858" s="138"/>
      <c r="B858" s="523" t="s">
        <v>1580</v>
      </c>
      <c r="C858" s="524" t="s">
        <v>119</v>
      </c>
      <c r="D858" s="144">
        <v>0</v>
      </c>
      <c r="E858" s="144">
        <v>0</v>
      </c>
      <c r="F858" s="144">
        <v>0</v>
      </c>
      <c r="G858" s="291">
        <v>0</v>
      </c>
      <c r="H858" s="150">
        <v>0</v>
      </c>
      <c r="I858" s="567">
        <f t="shared" si="23"/>
        <v>0</v>
      </c>
    </row>
    <row r="859" spans="1:9" x14ac:dyDescent="0.15">
      <c r="A859" s="138"/>
      <c r="B859" s="523" t="s">
        <v>120</v>
      </c>
      <c r="C859" s="524" t="s">
        <v>121</v>
      </c>
      <c r="D859" s="144">
        <v>0</v>
      </c>
      <c r="E859" s="144">
        <v>0</v>
      </c>
      <c r="F859" s="144">
        <v>0</v>
      </c>
      <c r="G859" s="291">
        <v>0</v>
      </c>
      <c r="H859" s="150">
        <v>0</v>
      </c>
      <c r="I859" s="567">
        <f t="shared" si="23"/>
        <v>0</v>
      </c>
    </row>
    <row r="860" spans="1:9" x14ac:dyDescent="0.15">
      <c r="A860" s="138"/>
      <c r="B860" s="523" t="s">
        <v>122</v>
      </c>
      <c r="C860" s="524" t="s">
        <v>123</v>
      </c>
      <c r="D860" s="144">
        <v>0</v>
      </c>
      <c r="E860" s="144">
        <v>0</v>
      </c>
      <c r="F860" s="144">
        <v>0</v>
      </c>
      <c r="G860" s="291">
        <v>0</v>
      </c>
      <c r="H860" s="150">
        <v>0</v>
      </c>
      <c r="I860" s="567">
        <f t="shared" si="23"/>
        <v>0</v>
      </c>
    </row>
    <row r="861" spans="1:9" x14ac:dyDescent="0.15">
      <c r="A861" s="138"/>
      <c r="B861" s="523" t="s">
        <v>1581</v>
      </c>
      <c r="C861" s="524" t="s">
        <v>124</v>
      </c>
      <c r="D861" s="144">
        <v>0</v>
      </c>
      <c r="E861" s="144">
        <v>0</v>
      </c>
      <c r="F861" s="144">
        <v>0</v>
      </c>
      <c r="G861" s="291">
        <v>0</v>
      </c>
      <c r="H861" s="150">
        <v>0</v>
      </c>
      <c r="I861" s="567">
        <f t="shared" si="23"/>
        <v>0</v>
      </c>
    </row>
    <row r="862" spans="1:9" x14ac:dyDescent="0.15">
      <c r="A862" s="138"/>
      <c r="B862" s="523" t="s">
        <v>127</v>
      </c>
      <c r="C862" s="524" t="s">
        <v>134</v>
      </c>
      <c r="D862" s="144">
        <v>0</v>
      </c>
      <c r="E862" s="144">
        <v>0</v>
      </c>
      <c r="F862" s="144">
        <v>0</v>
      </c>
      <c r="G862" s="291">
        <v>0</v>
      </c>
      <c r="H862" s="150">
        <v>0</v>
      </c>
      <c r="I862" s="567">
        <f t="shared" si="23"/>
        <v>0</v>
      </c>
    </row>
    <row r="863" spans="1:9" x14ac:dyDescent="0.15">
      <c r="A863" s="138"/>
      <c r="B863" s="523" t="s">
        <v>128</v>
      </c>
      <c r="C863" s="524" t="s">
        <v>135</v>
      </c>
      <c r="D863" s="144">
        <v>0</v>
      </c>
      <c r="E863" s="144">
        <v>0</v>
      </c>
      <c r="F863" s="144">
        <v>0</v>
      </c>
      <c r="G863" s="291">
        <v>0</v>
      </c>
      <c r="H863" s="150">
        <v>0</v>
      </c>
      <c r="I863" s="567">
        <f t="shared" si="23"/>
        <v>0</v>
      </c>
    </row>
    <row r="864" spans="1:9" x14ac:dyDescent="0.15">
      <c r="A864" s="138"/>
      <c r="B864" s="523" t="s">
        <v>132</v>
      </c>
      <c r="C864" s="524" t="s">
        <v>1617</v>
      </c>
      <c r="D864" s="144">
        <v>0</v>
      </c>
      <c r="E864" s="144">
        <v>0</v>
      </c>
      <c r="F864" s="144">
        <v>0</v>
      </c>
      <c r="G864" s="291">
        <v>0</v>
      </c>
      <c r="H864" s="150">
        <v>0</v>
      </c>
      <c r="I864" s="567">
        <f t="shared" si="23"/>
        <v>0</v>
      </c>
    </row>
    <row r="865" spans="1:9" x14ac:dyDescent="0.15">
      <c r="A865" s="138"/>
      <c r="B865" s="523" t="s">
        <v>1618</v>
      </c>
      <c r="C865" s="524" t="s">
        <v>836</v>
      </c>
      <c r="D865" s="144">
        <v>0</v>
      </c>
      <c r="E865" s="144">
        <v>0</v>
      </c>
      <c r="F865" s="144">
        <v>0</v>
      </c>
      <c r="G865" s="291">
        <v>0</v>
      </c>
      <c r="H865" s="150">
        <v>0</v>
      </c>
      <c r="I865" s="567">
        <f t="shared" si="23"/>
        <v>0</v>
      </c>
    </row>
    <row r="866" spans="1:9" x14ac:dyDescent="0.15">
      <c r="A866" s="138"/>
      <c r="B866" s="523" t="s">
        <v>1619</v>
      </c>
      <c r="C866" s="524" t="s">
        <v>837</v>
      </c>
      <c r="D866" s="144">
        <v>0</v>
      </c>
      <c r="E866" s="144">
        <v>0</v>
      </c>
      <c r="F866" s="144">
        <v>0</v>
      </c>
      <c r="G866" s="291">
        <v>0</v>
      </c>
      <c r="H866" s="150">
        <v>0</v>
      </c>
      <c r="I866" s="567">
        <f t="shared" si="23"/>
        <v>0</v>
      </c>
    </row>
    <row r="867" spans="1:9" x14ac:dyDescent="0.15">
      <c r="A867" s="138"/>
      <c r="B867" s="523" t="s">
        <v>1620</v>
      </c>
      <c r="C867" s="524" t="s">
        <v>838</v>
      </c>
      <c r="D867" s="144">
        <v>0</v>
      </c>
      <c r="E867" s="144">
        <v>0</v>
      </c>
      <c r="F867" s="144">
        <v>0</v>
      </c>
      <c r="G867" s="291">
        <v>0</v>
      </c>
      <c r="H867" s="150">
        <v>0</v>
      </c>
      <c r="I867" s="567">
        <f t="shared" si="23"/>
        <v>0</v>
      </c>
    </row>
    <row r="868" spans="1:9" x14ac:dyDescent="0.15">
      <c r="A868" s="138"/>
      <c r="B868" s="523" t="s">
        <v>1621</v>
      </c>
      <c r="C868" s="524" t="s">
        <v>839</v>
      </c>
      <c r="D868" s="144">
        <v>0</v>
      </c>
      <c r="E868" s="144">
        <v>0</v>
      </c>
      <c r="F868" s="144">
        <v>0</v>
      </c>
      <c r="G868" s="291">
        <v>0</v>
      </c>
      <c r="H868" s="150">
        <v>0</v>
      </c>
      <c r="I868" s="567">
        <f t="shared" si="23"/>
        <v>0</v>
      </c>
    </row>
    <row r="869" spans="1:9" x14ac:dyDescent="0.15">
      <c r="A869" s="138"/>
      <c r="B869" s="523" t="s">
        <v>1622</v>
      </c>
      <c r="C869" s="524" t="s">
        <v>190</v>
      </c>
      <c r="D869" s="144">
        <v>0</v>
      </c>
      <c r="E869" s="144">
        <v>0</v>
      </c>
      <c r="F869" s="144">
        <v>0</v>
      </c>
      <c r="G869" s="291">
        <v>0</v>
      </c>
      <c r="H869" s="150">
        <v>0</v>
      </c>
      <c r="I869" s="567">
        <f t="shared" si="23"/>
        <v>0</v>
      </c>
    </row>
    <row r="870" spans="1:9" x14ac:dyDescent="0.15">
      <c r="A870" s="138"/>
      <c r="B870" s="523" t="s">
        <v>1623</v>
      </c>
      <c r="C870" s="524" t="s">
        <v>191</v>
      </c>
      <c r="D870" s="144">
        <v>0</v>
      </c>
      <c r="E870" s="144">
        <v>0</v>
      </c>
      <c r="F870" s="144">
        <v>0</v>
      </c>
      <c r="G870" s="291">
        <v>0</v>
      </c>
      <c r="H870" s="150">
        <v>0</v>
      </c>
      <c r="I870" s="567">
        <f t="shared" si="23"/>
        <v>0</v>
      </c>
    </row>
    <row r="871" spans="1:9" x14ac:dyDescent="0.15">
      <c r="A871" s="138"/>
      <c r="B871" s="523" t="s">
        <v>1624</v>
      </c>
      <c r="C871" s="524" t="s">
        <v>840</v>
      </c>
      <c r="D871" s="144">
        <v>0</v>
      </c>
      <c r="E871" s="144">
        <v>0</v>
      </c>
      <c r="F871" s="144">
        <v>0</v>
      </c>
      <c r="G871" s="291">
        <v>0</v>
      </c>
      <c r="H871" s="150">
        <v>0</v>
      </c>
      <c r="I871" s="567">
        <f t="shared" si="23"/>
        <v>0</v>
      </c>
    </row>
    <row r="872" spans="1:9" x14ac:dyDescent="0.15">
      <c r="A872" s="138"/>
      <c r="B872" s="523" t="s">
        <v>1625</v>
      </c>
      <c r="C872" s="524" t="s">
        <v>842</v>
      </c>
      <c r="D872" s="144">
        <v>0</v>
      </c>
      <c r="E872" s="144">
        <v>0</v>
      </c>
      <c r="F872" s="144">
        <v>0</v>
      </c>
      <c r="G872" s="291">
        <v>0</v>
      </c>
      <c r="H872" s="150">
        <v>0</v>
      </c>
      <c r="I872" s="567">
        <f t="shared" si="23"/>
        <v>0</v>
      </c>
    </row>
    <row r="873" spans="1:9" x14ac:dyDescent="0.15">
      <c r="A873" s="138"/>
      <c r="B873" s="523" t="s">
        <v>843</v>
      </c>
      <c r="C873" s="524" t="s">
        <v>848</v>
      </c>
      <c r="D873" s="144">
        <v>0</v>
      </c>
      <c r="E873" s="144">
        <v>0</v>
      </c>
      <c r="F873" s="144">
        <v>0</v>
      </c>
      <c r="G873" s="291">
        <v>0</v>
      </c>
      <c r="H873" s="150">
        <v>0</v>
      </c>
      <c r="I873" s="567">
        <f t="shared" si="23"/>
        <v>0</v>
      </c>
    </row>
    <row r="874" spans="1:9" x14ac:dyDescent="0.15">
      <c r="A874" s="138"/>
      <c r="B874" s="523" t="s">
        <v>844</v>
      </c>
      <c r="C874" s="524" t="s">
        <v>153</v>
      </c>
      <c r="D874" s="144">
        <v>0</v>
      </c>
      <c r="E874" s="144">
        <v>0</v>
      </c>
      <c r="F874" s="144">
        <v>0</v>
      </c>
      <c r="G874" s="291">
        <v>0</v>
      </c>
      <c r="H874" s="150">
        <v>0</v>
      </c>
      <c r="I874" s="567">
        <f t="shared" si="23"/>
        <v>0</v>
      </c>
    </row>
    <row r="875" spans="1:9" x14ac:dyDescent="0.15">
      <c r="A875" s="138"/>
      <c r="B875" s="523" t="s">
        <v>845</v>
      </c>
      <c r="C875" s="524" t="s">
        <v>154</v>
      </c>
      <c r="D875" s="144">
        <v>0</v>
      </c>
      <c r="E875" s="144">
        <v>0</v>
      </c>
      <c r="F875" s="144">
        <v>0</v>
      </c>
      <c r="G875" s="291">
        <v>0</v>
      </c>
      <c r="H875" s="150">
        <v>0</v>
      </c>
      <c r="I875" s="567">
        <f t="shared" si="23"/>
        <v>0</v>
      </c>
    </row>
    <row r="876" spans="1:9" x14ac:dyDescent="0.15">
      <c r="A876" s="138"/>
      <c r="B876" s="523" t="s">
        <v>846</v>
      </c>
      <c r="C876" s="524" t="s">
        <v>155</v>
      </c>
      <c r="D876" s="144">
        <v>0</v>
      </c>
      <c r="E876" s="144">
        <v>0</v>
      </c>
      <c r="F876" s="144">
        <v>0</v>
      </c>
      <c r="G876" s="291">
        <v>0</v>
      </c>
      <c r="H876" s="150">
        <v>0</v>
      </c>
      <c r="I876" s="567">
        <f t="shared" si="23"/>
        <v>0</v>
      </c>
    </row>
    <row r="877" spans="1:9" x14ac:dyDescent="0.15">
      <c r="A877" s="138"/>
      <c r="B877" s="523" t="s">
        <v>1582</v>
      </c>
      <c r="C877" s="524" t="s">
        <v>156</v>
      </c>
      <c r="D877" s="144">
        <v>0</v>
      </c>
      <c r="E877" s="144">
        <v>0</v>
      </c>
      <c r="F877" s="144">
        <v>0</v>
      </c>
      <c r="G877" s="291">
        <v>0</v>
      </c>
      <c r="H877" s="150">
        <v>0</v>
      </c>
      <c r="I877" s="567">
        <f t="shared" si="23"/>
        <v>0</v>
      </c>
    </row>
    <row r="878" spans="1:9" x14ac:dyDescent="0.15">
      <c r="A878" s="138"/>
      <c r="B878" s="523" t="s">
        <v>847</v>
      </c>
      <c r="C878" s="524" t="s">
        <v>157</v>
      </c>
      <c r="D878" s="144">
        <v>0</v>
      </c>
      <c r="E878" s="144">
        <v>0</v>
      </c>
      <c r="F878" s="144">
        <v>0</v>
      </c>
      <c r="G878" s="291">
        <v>0</v>
      </c>
      <c r="H878" s="150">
        <v>0</v>
      </c>
      <c r="I878" s="567">
        <f t="shared" si="23"/>
        <v>0</v>
      </c>
    </row>
    <row r="879" spans="1:9" x14ac:dyDescent="0.15">
      <c r="A879" s="138"/>
      <c r="B879" s="523" t="s">
        <v>1583</v>
      </c>
      <c r="C879" s="524" t="s">
        <v>160</v>
      </c>
      <c r="D879" s="144">
        <v>0</v>
      </c>
      <c r="E879" s="144">
        <v>0</v>
      </c>
      <c r="F879" s="144">
        <v>0</v>
      </c>
      <c r="G879" s="291">
        <v>0</v>
      </c>
      <c r="H879" s="150">
        <v>0</v>
      </c>
      <c r="I879" s="567">
        <f t="shared" si="23"/>
        <v>0</v>
      </c>
    </row>
    <row r="880" spans="1:9" x14ac:dyDescent="0.15">
      <c r="A880" s="138"/>
      <c r="B880" s="523" t="s">
        <v>634</v>
      </c>
      <c r="C880" s="524" t="s">
        <v>165</v>
      </c>
      <c r="D880" s="144">
        <v>0</v>
      </c>
      <c r="E880" s="144">
        <v>0</v>
      </c>
      <c r="F880" s="144">
        <v>0</v>
      </c>
      <c r="G880" s="291">
        <v>0</v>
      </c>
      <c r="H880" s="150">
        <v>0</v>
      </c>
      <c r="I880" s="567">
        <f t="shared" si="23"/>
        <v>0</v>
      </c>
    </row>
    <row r="881" spans="1:9" x14ac:dyDescent="0.15">
      <c r="A881" s="138"/>
      <c r="B881" s="523" t="s">
        <v>630</v>
      </c>
      <c r="C881" s="524" t="s">
        <v>172</v>
      </c>
      <c r="D881" s="144">
        <v>0</v>
      </c>
      <c r="E881" s="144">
        <v>0</v>
      </c>
      <c r="F881" s="144">
        <v>0</v>
      </c>
      <c r="G881" s="291">
        <v>0</v>
      </c>
      <c r="H881" s="150">
        <v>0</v>
      </c>
      <c r="I881" s="567">
        <f t="shared" si="23"/>
        <v>0</v>
      </c>
    </row>
    <row r="882" spans="1:9" x14ac:dyDescent="0.15">
      <c r="A882" s="138"/>
      <c r="B882" s="650" t="s">
        <v>631</v>
      </c>
      <c r="C882" s="651" t="s">
        <v>173</v>
      </c>
      <c r="D882" s="144">
        <v>0</v>
      </c>
      <c r="E882" s="144">
        <v>0</v>
      </c>
      <c r="F882" s="144">
        <v>0</v>
      </c>
      <c r="G882" s="291">
        <v>0</v>
      </c>
      <c r="H882" s="150">
        <v>0</v>
      </c>
      <c r="I882" s="567">
        <f t="shared" si="23"/>
        <v>0</v>
      </c>
    </row>
    <row r="883" spans="1:9" x14ac:dyDescent="0.15">
      <c r="A883" s="138"/>
      <c r="B883" s="523" t="s">
        <v>1584</v>
      </c>
      <c r="C883" s="524" t="s">
        <v>178</v>
      </c>
      <c r="D883" s="144">
        <v>0</v>
      </c>
      <c r="E883" s="144">
        <v>0</v>
      </c>
      <c r="F883" s="144">
        <v>0</v>
      </c>
      <c r="G883" s="291">
        <v>0</v>
      </c>
      <c r="H883" s="150">
        <v>0</v>
      </c>
      <c r="I883" s="567">
        <f t="shared" si="23"/>
        <v>0</v>
      </c>
    </row>
    <row r="884" spans="1:9" x14ac:dyDescent="0.15">
      <c r="A884" s="138"/>
      <c r="B884" s="523" t="s">
        <v>174</v>
      </c>
      <c r="C884" s="524" t="s">
        <v>179</v>
      </c>
      <c r="D884" s="144">
        <v>0</v>
      </c>
      <c r="E884" s="144">
        <v>0</v>
      </c>
      <c r="F884" s="144">
        <v>0</v>
      </c>
      <c r="G884" s="291">
        <v>0</v>
      </c>
      <c r="H884" s="150">
        <v>0</v>
      </c>
      <c r="I884" s="567">
        <f t="shared" si="23"/>
        <v>0</v>
      </c>
    </row>
    <row r="885" spans="1:9" x14ac:dyDescent="0.15">
      <c r="A885" s="138"/>
      <c r="B885" s="523" t="s">
        <v>175</v>
      </c>
      <c r="C885" s="524" t="s">
        <v>180</v>
      </c>
      <c r="D885" s="144">
        <v>0</v>
      </c>
      <c r="E885" s="144">
        <v>0</v>
      </c>
      <c r="F885" s="144">
        <v>0</v>
      </c>
      <c r="G885" s="291">
        <v>0</v>
      </c>
      <c r="H885" s="150">
        <v>0</v>
      </c>
      <c r="I885" s="567">
        <f t="shared" si="23"/>
        <v>0</v>
      </c>
    </row>
    <row r="886" spans="1:9" ht="11.25" thickBot="1" x14ac:dyDescent="0.2">
      <c r="A886" s="138"/>
      <c r="B886" s="523" t="s">
        <v>176</v>
      </c>
      <c r="C886" s="524" t="s">
        <v>181</v>
      </c>
      <c r="D886" s="144">
        <v>0</v>
      </c>
      <c r="E886" s="144">
        <v>0</v>
      </c>
      <c r="F886" s="144">
        <v>0</v>
      </c>
      <c r="G886" s="291">
        <v>0</v>
      </c>
      <c r="H886" s="150">
        <v>0</v>
      </c>
      <c r="I886" s="567">
        <f t="shared" si="23"/>
        <v>0</v>
      </c>
    </row>
    <row r="887" spans="1:9" ht="12" thickTop="1" thickBot="1" x14ac:dyDescent="0.2">
      <c r="A887" s="138"/>
      <c r="B887" s="523"/>
      <c r="C887" s="524" t="s">
        <v>381</v>
      </c>
      <c r="D887" s="169">
        <f>SUM(D853:D886)</f>
        <v>0</v>
      </c>
      <c r="E887" s="169">
        <f>SUM(E853:E886)</f>
        <v>0</v>
      </c>
      <c r="F887" s="169">
        <f>SUM(F853:F886)</f>
        <v>0</v>
      </c>
      <c r="G887" s="169">
        <f>SUM(G853:G886)</f>
        <v>0</v>
      </c>
      <c r="H887" s="169">
        <f>SUM(H853:H886)</f>
        <v>0</v>
      </c>
      <c r="I887" s="169">
        <f t="shared" si="23"/>
        <v>0</v>
      </c>
    </row>
    <row r="888" spans="1:9" ht="11.25" thickTop="1" x14ac:dyDescent="0.15">
      <c r="A888" s="138"/>
      <c r="B888" s="524"/>
      <c r="C888" s="524"/>
      <c r="D888" s="14"/>
      <c r="E888" s="14"/>
      <c r="F888" s="14"/>
      <c r="G888" s="14"/>
      <c r="H888" s="14"/>
      <c r="I888" s="563"/>
    </row>
    <row r="889" spans="1:9" x14ac:dyDescent="0.15">
      <c r="A889" s="522" t="s">
        <v>382</v>
      </c>
      <c r="B889" s="524"/>
      <c r="C889" s="524"/>
      <c r="D889" s="14"/>
      <c r="E889" s="14"/>
      <c r="F889" s="14"/>
      <c r="G889" s="14"/>
      <c r="H889" s="14"/>
      <c r="I889" s="563"/>
    </row>
    <row r="890" spans="1:9" x14ac:dyDescent="0.15">
      <c r="A890" s="434"/>
      <c r="B890" s="523" t="s">
        <v>1577</v>
      </c>
      <c r="C890" s="524" t="s">
        <v>228</v>
      </c>
      <c r="D890" s="316">
        <v>0</v>
      </c>
      <c r="E890" s="316">
        <v>0</v>
      </c>
      <c r="F890" s="316">
        <v>0</v>
      </c>
      <c r="G890" s="528">
        <f t="array" ref="G890">SUM(IF(CertFund&amp;CertProg&amp;CertObj=RIGHT(LEFT($A$2,7),2)&amp;LEFT(A889,4)&amp;B890,CertSalary))</f>
        <v>0</v>
      </c>
      <c r="H890" s="527">
        <v>0</v>
      </c>
      <c r="I890" s="566">
        <f>SUM(G890+H890)</f>
        <v>0</v>
      </c>
    </row>
    <row r="891" spans="1:9" x14ac:dyDescent="0.15">
      <c r="A891" s="434"/>
      <c r="B891" s="523" t="s">
        <v>1577</v>
      </c>
      <c r="C891" s="524" t="s">
        <v>510</v>
      </c>
      <c r="D891" s="316">
        <v>0</v>
      </c>
      <c r="E891" s="316">
        <v>0</v>
      </c>
      <c r="F891" s="316">
        <v>0</v>
      </c>
      <c r="G891" s="316">
        <v>0</v>
      </c>
      <c r="H891" s="527">
        <v>0</v>
      </c>
      <c r="I891" s="566">
        <f>SUM(G891+H891)</f>
        <v>0</v>
      </c>
    </row>
    <row r="892" spans="1:9" x14ac:dyDescent="0.15">
      <c r="A892" s="524"/>
      <c r="B892" s="523" t="s">
        <v>1578</v>
      </c>
      <c r="C892" s="524" t="s">
        <v>936</v>
      </c>
      <c r="D892" s="316">
        <v>0</v>
      </c>
      <c r="E892" s="316">
        <v>0</v>
      </c>
      <c r="F892" s="316">
        <v>0</v>
      </c>
      <c r="G892" s="529">
        <f t="array" ref="G892">SUM(IF(CertFund&amp;CertProg&amp;CertObj=RIGHT(LEFT($A$2,7),2)&amp;LEFT(A889,4)&amp;B890,CertBen))</f>
        <v>0</v>
      </c>
      <c r="H892" s="527">
        <v>0</v>
      </c>
      <c r="I892" s="566">
        <f>SUM(G892+H892)</f>
        <v>0</v>
      </c>
    </row>
    <row r="893" spans="1:9" x14ac:dyDescent="0.15">
      <c r="A893" s="524"/>
      <c r="B893" s="523" t="s">
        <v>1578</v>
      </c>
      <c r="C893" s="524" t="s">
        <v>511</v>
      </c>
      <c r="D893" s="316">
        <v>0</v>
      </c>
      <c r="E893" s="316">
        <v>0</v>
      </c>
      <c r="F893" s="316">
        <v>0</v>
      </c>
      <c r="G893" s="316">
        <v>0</v>
      </c>
      <c r="H893" s="527">
        <v>0</v>
      </c>
      <c r="I893" s="566">
        <f>SUM(G893+H893)</f>
        <v>0</v>
      </c>
    </row>
    <row r="894" spans="1:9" x14ac:dyDescent="0.15">
      <c r="A894" s="138"/>
      <c r="B894" s="523" t="s">
        <v>1579</v>
      </c>
      <c r="C894" s="524" t="s">
        <v>118</v>
      </c>
      <c r="D894" s="144">
        <v>0</v>
      </c>
      <c r="E894" s="144">
        <v>0</v>
      </c>
      <c r="F894" s="144">
        <v>0</v>
      </c>
      <c r="G894" s="144">
        <v>0</v>
      </c>
      <c r="H894" s="150">
        <v>0</v>
      </c>
      <c r="I894" s="567">
        <f t="shared" ref="I894:I924" si="24">SUM(G894+H894)</f>
        <v>0</v>
      </c>
    </row>
    <row r="895" spans="1:9" x14ac:dyDescent="0.15">
      <c r="A895" s="138"/>
      <c r="B895" s="523" t="s">
        <v>1580</v>
      </c>
      <c r="C895" s="524" t="s">
        <v>119</v>
      </c>
      <c r="D895" s="144">
        <v>0</v>
      </c>
      <c r="E895" s="144">
        <v>0</v>
      </c>
      <c r="F895" s="144">
        <v>0</v>
      </c>
      <c r="G895" s="144">
        <v>0</v>
      </c>
      <c r="H895" s="150">
        <v>0</v>
      </c>
      <c r="I895" s="567">
        <f t="shared" si="24"/>
        <v>0</v>
      </c>
    </row>
    <row r="896" spans="1:9" x14ac:dyDescent="0.15">
      <c r="A896" s="138"/>
      <c r="B896" s="523" t="s">
        <v>120</v>
      </c>
      <c r="C896" s="524" t="s">
        <v>121</v>
      </c>
      <c r="D896" s="144">
        <v>0</v>
      </c>
      <c r="E896" s="144">
        <v>0</v>
      </c>
      <c r="F896" s="144">
        <v>0</v>
      </c>
      <c r="G896" s="144">
        <v>0</v>
      </c>
      <c r="H896" s="150">
        <v>0</v>
      </c>
      <c r="I896" s="567">
        <f t="shared" si="24"/>
        <v>0</v>
      </c>
    </row>
    <row r="897" spans="1:9" x14ac:dyDescent="0.15">
      <c r="A897" s="138"/>
      <c r="B897" s="523" t="s">
        <v>122</v>
      </c>
      <c r="C897" s="524" t="s">
        <v>123</v>
      </c>
      <c r="D897" s="144">
        <v>0</v>
      </c>
      <c r="E897" s="144">
        <v>0</v>
      </c>
      <c r="F897" s="144">
        <v>0</v>
      </c>
      <c r="G897" s="144">
        <v>0</v>
      </c>
      <c r="H897" s="150">
        <v>0</v>
      </c>
      <c r="I897" s="567">
        <f t="shared" si="24"/>
        <v>0</v>
      </c>
    </row>
    <row r="898" spans="1:9" x14ac:dyDescent="0.15">
      <c r="A898" s="138"/>
      <c r="B898" s="523" t="s">
        <v>1581</v>
      </c>
      <c r="C898" s="524" t="s">
        <v>124</v>
      </c>
      <c r="D898" s="144">
        <v>0</v>
      </c>
      <c r="E898" s="144">
        <v>0</v>
      </c>
      <c r="F898" s="144">
        <v>0</v>
      </c>
      <c r="G898" s="144">
        <v>0</v>
      </c>
      <c r="H898" s="150">
        <v>0</v>
      </c>
      <c r="I898" s="567">
        <f t="shared" si="24"/>
        <v>0</v>
      </c>
    </row>
    <row r="899" spans="1:9" x14ac:dyDescent="0.15">
      <c r="A899" s="138"/>
      <c r="B899" s="523" t="s">
        <v>127</v>
      </c>
      <c r="C899" s="524" t="s">
        <v>134</v>
      </c>
      <c r="D899" s="144">
        <v>0</v>
      </c>
      <c r="E899" s="144">
        <v>0</v>
      </c>
      <c r="F899" s="144">
        <v>0</v>
      </c>
      <c r="G899" s="144">
        <v>0</v>
      </c>
      <c r="H899" s="150">
        <v>0</v>
      </c>
      <c r="I899" s="567">
        <f t="shared" si="24"/>
        <v>0</v>
      </c>
    </row>
    <row r="900" spans="1:9" x14ac:dyDescent="0.15">
      <c r="A900" s="138"/>
      <c r="B900" s="523" t="s">
        <v>128</v>
      </c>
      <c r="C900" s="524" t="s">
        <v>135</v>
      </c>
      <c r="D900" s="144">
        <v>0</v>
      </c>
      <c r="E900" s="144">
        <v>0</v>
      </c>
      <c r="F900" s="144">
        <v>0</v>
      </c>
      <c r="G900" s="144">
        <v>0</v>
      </c>
      <c r="H900" s="150">
        <v>0</v>
      </c>
      <c r="I900" s="567">
        <f t="shared" si="24"/>
        <v>0</v>
      </c>
    </row>
    <row r="901" spans="1:9" x14ac:dyDescent="0.15">
      <c r="A901" s="138"/>
      <c r="B901" s="523" t="s">
        <v>132</v>
      </c>
      <c r="C901" s="524" t="s">
        <v>1617</v>
      </c>
      <c r="D901" s="144">
        <v>0</v>
      </c>
      <c r="E901" s="144">
        <v>0</v>
      </c>
      <c r="F901" s="144">
        <v>0</v>
      </c>
      <c r="G901" s="144">
        <v>0</v>
      </c>
      <c r="H901" s="150">
        <v>0</v>
      </c>
      <c r="I901" s="567">
        <f t="shared" si="24"/>
        <v>0</v>
      </c>
    </row>
    <row r="902" spans="1:9" x14ac:dyDescent="0.15">
      <c r="A902" s="138"/>
      <c r="B902" s="523" t="s">
        <v>1618</v>
      </c>
      <c r="C902" s="524" t="s">
        <v>836</v>
      </c>
      <c r="D902" s="144">
        <v>0</v>
      </c>
      <c r="E902" s="144">
        <v>0</v>
      </c>
      <c r="F902" s="144">
        <v>0</v>
      </c>
      <c r="G902" s="144">
        <v>0</v>
      </c>
      <c r="H902" s="150">
        <v>0</v>
      </c>
      <c r="I902" s="567">
        <f t="shared" si="24"/>
        <v>0</v>
      </c>
    </row>
    <row r="903" spans="1:9" x14ac:dyDescent="0.15">
      <c r="A903" s="138"/>
      <c r="B903" s="523" t="s">
        <v>1619</v>
      </c>
      <c r="C903" s="524" t="s">
        <v>837</v>
      </c>
      <c r="D903" s="144">
        <v>0</v>
      </c>
      <c r="E903" s="144">
        <v>0</v>
      </c>
      <c r="F903" s="144">
        <v>0</v>
      </c>
      <c r="G903" s="144">
        <v>0</v>
      </c>
      <c r="H903" s="150">
        <v>0</v>
      </c>
      <c r="I903" s="567">
        <f t="shared" si="24"/>
        <v>0</v>
      </c>
    </row>
    <row r="904" spans="1:9" x14ac:dyDescent="0.15">
      <c r="A904" s="138"/>
      <c r="B904" s="523" t="s">
        <v>1620</v>
      </c>
      <c r="C904" s="524" t="s">
        <v>838</v>
      </c>
      <c r="D904" s="144">
        <v>0</v>
      </c>
      <c r="E904" s="144">
        <v>0</v>
      </c>
      <c r="F904" s="144">
        <v>0</v>
      </c>
      <c r="G904" s="144">
        <v>0</v>
      </c>
      <c r="H904" s="150">
        <v>0</v>
      </c>
      <c r="I904" s="567">
        <f t="shared" si="24"/>
        <v>0</v>
      </c>
    </row>
    <row r="905" spans="1:9" x14ac:dyDescent="0.15">
      <c r="A905" s="138"/>
      <c r="B905" s="523" t="s">
        <v>1621</v>
      </c>
      <c r="C905" s="524" t="s">
        <v>839</v>
      </c>
      <c r="D905" s="144">
        <v>0</v>
      </c>
      <c r="E905" s="144">
        <v>0</v>
      </c>
      <c r="F905" s="144">
        <v>0</v>
      </c>
      <c r="G905" s="144">
        <v>0</v>
      </c>
      <c r="H905" s="150">
        <v>0</v>
      </c>
      <c r="I905" s="567">
        <f t="shared" si="24"/>
        <v>0</v>
      </c>
    </row>
    <row r="906" spans="1:9" x14ac:dyDescent="0.15">
      <c r="A906" s="138"/>
      <c r="B906" s="523" t="s">
        <v>1622</v>
      </c>
      <c r="C906" s="524" t="s">
        <v>190</v>
      </c>
      <c r="D906" s="144">
        <v>0</v>
      </c>
      <c r="E906" s="144">
        <v>0</v>
      </c>
      <c r="F906" s="144">
        <v>0</v>
      </c>
      <c r="G906" s="144">
        <v>0</v>
      </c>
      <c r="H906" s="150">
        <v>0</v>
      </c>
      <c r="I906" s="567">
        <f t="shared" si="24"/>
        <v>0</v>
      </c>
    </row>
    <row r="907" spans="1:9" x14ac:dyDescent="0.15">
      <c r="A907" s="138"/>
      <c r="B907" s="523" t="s">
        <v>1623</v>
      </c>
      <c r="C907" s="524" t="s">
        <v>191</v>
      </c>
      <c r="D907" s="144">
        <v>0</v>
      </c>
      <c r="E907" s="144">
        <v>0</v>
      </c>
      <c r="F907" s="144">
        <v>0</v>
      </c>
      <c r="G907" s="144">
        <v>0</v>
      </c>
      <c r="H907" s="150">
        <v>0</v>
      </c>
      <c r="I907" s="567">
        <f t="shared" si="24"/>
        <v>0</v>
      </c>
    </row>
    <row r="908" spans="1:9" x14ac:dyDescent="0.15">
      <c r="A908" s="138"/>
      <c r="B908" s="523" t="s">
        <v>1624</v>
      </c>
      <c r="C908" s="524" t="s">
        <v>840</v>
      </c>
      <c r="D908" s="144">
        <v>0</v>
      </c>
      <c r="E908" s="144">
        <v>0</v>
      </c>
      <c r="F908" s="144">
        <v>0</v>
      </c>
      <c r="G908" s="144">
        <v>0</v>
      </c>
      <c r="H908" s="150">
        <v>0</v>
      </c>
      <c r="I908" s="567">
        <f t="shared" si="24"/>
        <v>0</v>
      </c>
    </row>
    <row r="909" spans="1:9" x14ac:dyDescent="0.15">
      <c r="A909" s="138"/>
      <c r="B909" s="523" t="s">
        <v>1625</v>
      </c>
      <c r="C909" s="524" t="s">
        <v>842</v>
      </c>
      <c r="D909" s="144">
        <v>0</v>
      </c>
      <c r="E909" s="144">
        <v>0</v>
      </c>
      <c r="F909" s="144">
        <v>0</v>
      </c>
      <c r="G909" s="144">
        <v>0</v>
      </c>
      <c r="H909" s="150">
        <v>0</v>
      </c>
      <c r="I909" s="567">
        <f t="shared" si="24"/>
        <v>0</v>
      </c>
    </row>
    <row r="910" spans="1:9" x14ac:dyDescent="0.15">
      <c r="A910" s="138"/>
      <c r="B910" s="523" t="s">
        <v>843</v>
      </c>
      <c r="C910" s="524" t="s">
        <v>848</v>
      </c>
      <c r="D910" s="144">
        <v>0</v>
      </c>
      <c r="E910" s="144">
        <v>0</v>
      </c>
      <c r="F910" s="144">
        <v>0</v>
      </c>
      <c r="G910" s="144">
        <v>0</v>
      </c>
      <c r="H910" s="150">
        <v>0</v>
      </c>
      <c r="I910" s="567">
        <f t="shared" si="24"/>
        <v>0</v>
      </c>
    </row>
    <row r="911" spans="1:9" x14ac:dyDescent="0.15">
      <c r="A911" s="138"/>
      <c r="B911" s="523" t="s">
        <v>844</v>
      </c>
      <c r="C911" s="524" t="s">
        <v>153</v>
      </c>
      <c r="D911" s="144">
        <v>0</v>
      </c>
      <c r="E911" s="144">
        <v>0</v>
      </c>
      <c r="F911" s="144">
        <v>0</v>
      </c>
      <c r="G911" s="144">
        <v>0</v>
      </c>
      <c r="H911" s="150">
        <v>0</v>
      </c>
      <c r="I911" s="567">
        <f t="shared" si="24"/>
        <v>0</v>
      </c>
    </row>
    <row r="912" spans="1:9" x14ac:dyDescent="0.15">
      <c r="A912" s="138"/>
      <c r="B912" s="523" t="s">
        <v>845</v>
      </c>
      <c r="C912" s="524" t="s">
        <v>154</v>
      </c>
      <c r="D912" s="144">
        <v>0</v>
      </c>
      <c r="E912" s="144">
        <v>0</v>
      </c>
      <c r="F912" s="144">
        <v>0</v>
      </c>
      <c r="G912" s="144">
        <v>0</v>
      </c>
      <c r="H912" s="150">
        <v>0</v>
      </c>
      <c r="I912" s="567">
        <f t="shared" si="24"/>
        <v>0</v>
      </c>
    </row>
    <row r="913" spans="1:9" x14ac:dyDescent="0.15">
      <c r="A913" s="138"/>
      <c r="B913" s="523" t="s">
        <v>846</v>
      </c>
      <c r="C913" s="524" t="s">
        <v>155</v>
      </c>
      <c r="D913" s="144">
        <v>0</v>
      </c>
      <c r="E913" s="144">
        <v>0</v>
      </c>
      <c r="F913" s="144">
        <v>0</v>
      </c>
      <c r="G913" s="144">
        <v>0</v>
      </c>
      <c r="H913" s="150">
        <v>0</v>
      </c>
      <c r="I913" s="567">
        <f t="shared" si="24"/>
        <v>0</v>
      </c>
    </row>
    <row r="914" spans="1:9" x14ac:dyDescent="0.15">
      <c r="A914" s="138"/>
      <c r="B914" s="523" t="s">
        <v>1582</v>
      </c>
      <c r="C914" s="524" t="s">
        <v>156</v>
      </c>
      <c r="D914" s="144">
        <v>0</v>
      </c>
      <c r="E914" s="144">
        <v>0</v>
      </c>
      <c r="F914" s="144">
        <v>0</v>
      </c>
      <c r="G914" s="144">
        <v>0</v>
      </c>
      <c r="H914" s="150">
        <v>0</v>
      </c>
      <c r="I914" s="567">
        <f t="shared" si="24"/>
        <v>0</v>
      </c>
    </row>
    <row r="915" spans="1:9" x14ac:dyDescent="0.15">
      <c r="A915" s="138"/>
      <c r="B915" s="523" t="s">
        <v>847</v>
      </c>
      <c r="C915" s="524" t="s">
        <v>157</v>
      </c>
      <c r="D915" s="144">
        <v>0</v>
      </c>
      <c r="E915" s="144">
        <v>0</v>
      </c>
      <c r="F915" s="144">
        <v>0</v>
      </c>
      <c r="G915" s="144">
        <v>0</v>
      </c>
      <c r="H915" s="150">
        <v>0</v>
      </c>
      <c r="I915" s="567">
        <f t="shared" si="24"/>
        <v>0</v>
      </c>
    </row>
    <row r="916" spans="1:9" x14ac:dyDescent="0.15">
      <c r="A916" s="138"/>
      <c r="B916" s="523" t="s">
        <v>1583</v>
      </c>
      <c r="C916" s="524" t="s">
        <v>160</v>
      </c>
      <c r="D916" s="144">
        <v>0</v>
      </c>
      <c r="E916" s="144">
        <v>0</v>
      </c>
      <c r="F916" s="144">
        <v>0</v>
      </c>
      <c r="G916" s="144">
        <v>0</v>
      </c>
      <c r="H916" s="150">
        <v>0</v>
      </c>
      <c r="I916" s="567">
        <f t="shared" si="24"/>
        <v>0</v>
      </c>
    </row>
    <row r="917" spans="1:9" x14ac:dyDescent="0.15">
      <c r="A917" s="138"/>
      <c r="B917" s="523" t="s">
        <v>634</v>
      </c>
      <c r="C917" s="524" t="s">
        <v>165</v>
      </c>
      <c r="D917" s="144">
        <v>0</v>
      </c>
      <c r="E917" s="144">
        <v>0</v>
      </c>
      <c r="F917" s="144">
        <v>0</v>
      </c>
      <c r="G917" s="144">
        <v>0</v>
      </c>
      <c r="H917" s="150">
        <v>0</v>
      </c>
      <c r="I917" s="567">
        <f t="shared" si="24"/>
        <v>0</v>
      </c>
    </row>
    <row r="918" spans="1:9" x14ac:dyDescent="0.15">
      <c r="A918" s="138"/>
      <c r="B918" s="523" t="s">
        <v>630</v>
      </c>
      <c r="C918" s="524" t="s">
        <v>172</v>
      </c>
      <c r="D918" s="144">
        <v>0</v>
      </c>
      <c r="E918" s="144">
        <v>0</v>
      </c>
      <c r="F918" s="144">
        <v>0</v>
      </c>
      <c r="G918" s="144">
        <v>0</v>
      </c>
      <c r="H918" s="150">
        <v>0</v>
      </c>
      <c r="I918" s="567">
        <f t="shared" si="24"/>
        <v>0</v>
      </c>
    </row>
    <row r="919" spans="1:9" x14ac:dyDescent="0.15">
      <c r="A919" s="138"/>
      <c r="B919" s="650" t="s">
        <v>631</v>
      </c>
      <c r="C919" s="651" t="s">
        <v>173</v>
      </c>
      <c r="D919" s="144">
        <v>0</v>
      </c>
      <c r="E919" s="144">
        <v>0</v>
      </c>
      <c r="F919" s="144">
        <v>0</v>
      </c>
      <c r="G919" s="144">
        <v>0</v>
      </c>
      <c r="H919" s="150">
        <v>0</v>
      </c>
      <c r="I919" s="567">
        <f t="shared" si="24"/>
        <v>0</v>
      </c>
    </row>
    <row r="920" spans="1:9" x14ac:dyDescent="0.15">
      <c r="A920" s="138"/>
      <c r="B920" s="523" t="s">
        <v>1584</v>
      </c>
      <c r="C920" s="524" t="s">
        <v>178</v>
      </c>
      <c r="D920" s="144">
        <v>0</v>
      </c>
      <c r="E920" s="144">
        <v>0</v>
      </c>
      <c r="F920" s="144">
        <v>0</v>
      </c>
      <c r="G920" s="144">
        <v>0</v>
      </c>
      <c r="H920" s="150">
        <v>0</v>
      </c>
      <c r="I920" s="567">
        <f t="shared" si="24"/>
        <v>0</v>
      </c>
    </row>
    <row r="921" spans="1:9" x14ac:dyDescent="0.15">
      <c r="A921" s="138"/>
      <c r="B921" s="523" t="s">
        <v>174</v>
      </c>
      <c r="C921" s="524" t="s">
        <v>179</v>
      </c>
      <c r="D921" s="144">
        <v>0</v>
      </c>
      <c r="E921" s="144">
        <v>0</v>
      </c>
      <c r="F921" s="144">
        <v>0</v>
      </c>
      <c r="G921" s="144">
        <v>0</v>
      </c>
      <c r="H921" s="150">
        <v>0</v>
      </c>
      <c r="I921" s="567">
        <f t="shared" si="24"/>
        <v>0</v>
      </c>
    </row>
    <row r="922" spans="1:9" x14ac:dyDescent="0.15">
      <c r="A922" s="138"/>
      <c r="B922" s="523" t="s">
        <v>175</v>
      </c>
      <c r="C922" s="524" t="s">
        <v>180</v>
      </c>
      <c r="D922" s="144">
        <v>0</v>
      </c>
      <c r="E922" s="144">
        <v>0</v>
      </c>
      <c r="F922" s="144">
        <v>0</v>
      </c>
      <c r="G922" s="144">
        <v>0</v>
      </c>
      <c r="H922" s="150">
        <v>0</v>
      </c>
      <c r="I922" s="567">
        <f t="shared" si="24"/>
        <v>0</v>
      </c>
    </row>
    <row r="923" spans="1:9" ht="11.25" thickBot="1" x14ac:dyDescent="0.2">
      <c r="A923" s="138"/>
      <c r="B923" s="523" t="s">
        <v>176</v>
      </c>
      <c r="C923" s="524" t="s">
        <v>181</v>
      </c>
      <c r="D923" s="144">
        <v>0</v>
      </c>
      <c r="E923" s="144">
        <v>0</v>
      </c>
      <c r="F923" s="144">
        <v>0</v>
      </c>
      <c r="G923" s="144">
        <v>0</v>
      </c>
      <c r="H923" s="150">
        <v>0</v>
      </c>
      <c r="I923" s="567">
        <f t="shared" si="24"/>
        <v>0</v>
      </c>
    </row>
    <row r="924" spans="1:9" ht="12" thickTop="1" thickBot="1" x14ac:dyDescent="0.2">
      <c r="A924" s="138"/>
      <c r="B924" s="523"/>
      <c r="C924" s="524" t="s">
        <v>383</v>
      </c>
      <c r="D924" s="169">
        <f>SUM(D890:D923)</f>
        <v>0</v>
      </c>
      <c r="E924" s="169">
        <f>SUM(E890:E923)</f>
        <v>0</v>
      </c>
      <c r="F924" s="169">
        <f>SUM(F890:F923)</f>
        <v>0</v>
      </c>
      <c r="G924" s="169">
        <f>SUM(G890:G923)</f>
        <v>0</v>
      </c>
      <c r="H924" s="169">
        <f>SUM(H890:H923)</f>
        <v>0</v>
      </c>
      <c r="I924" s="169">
        <f t="shared" si="24"/>
        <v>0</v>
      </c>
    </row>
    <row r="925" spans="1:9" ht="11.25" thickTop="1" x14ac:dyDescent="0.15">
      <c r="A925" s="138"/>
      <c r="B925" s="524"/>
      <c r="C925" s="524"/>
      <c r="D925" s="14"/>
      <c r="E925" s="14"/>
      <c r="F925" s="14"/>
      <c r="G925" s="14"/>
      <c r="H925" s="14"/>
      <c r="I925" s="563"/>
    </row>
    <row r="926" spans="1:9" x14ac:dyDescent="0.15">
      <c r="A926" s="522" t="s">
        <v>384</v>
      </c>
      <c r="B926" s="524"/>
      <c r="C926" s="524"/>
      <c r="D926" s="14"/>
      <c r="E926" s="14"/>
      <c r="F926" s="14"/>
      <c r="G926" s="14"/>
      <c r="H926" s="14"/>
      <c r="I926" s="563"/>
    </row>
    <row r="927" spans="1:9" x14ac:dyDescent="0.15">
      <c r="A927" s="434"/>
      <c r="B927" s="523" t="s">
        <v>1577</v>
      </c>
      <c r="C927" s="524" t="s">
        <v>228</v>
      </c>
      <c r="D927" s="316">
        <v>0</v>
      </c>
      <c r="E927" s="316">
        <v>0</v>
      </c>
      <c r="F927" s="316">
        <v>0</v>
      </c>
      <c r="G927" s="528">
        <f t="array" ref="G927">SUM(IF(CertFund&amp;CertProg&amp;CertObj=RIGHT(LEFT($A$2,7),2)&amp;LEFT(A926,4)&amp;B927,CertSalary))</f>
        <v>0</v>
      </c>
      <c r="H927" s="527">
        <v>0</v>
      </c>
      <c r="I927" s="566">
        <f>SUM(G927+H927)</f>
        <v>0</v>
      </c>
    </row>
    <row r="928" spans="1:9" x14ac:dyDescent="0.15">
      <c r="A928" s="434"/>
      <c r="B928" s="523" t="s">
        <v>1577</v>
      </c>
      <c r="C928" s="524" t="s">
        <v>510</v>
      </c>
      <c r="D928" s="316">
        <v>0</v>
      </c>
      <c r="E928" s="316">
        <v>0</v>
      </c>
      <c r="F928" s="316">
        <v>0</v>
      </c>
      <c r="G928" s="316">
        <v>0</v>
      </c>
      <c r="H928" s="527">
        <v>0</v>
      </c>
      <c r="I928" s="566">
        <f>SUM(G928+H928)</f>
        <v>0</v>
      </c>
    </row>
    <row r="929" spans="1:9" x14ac:dyDescent="0.15">
      <c r="A929" s="524"/>
      <c r="B929" s="523" t="s">
        <v>1578</v>
      </c>
      <c r="C929" s="524" t="s">
        <v>936</v>
      </c>
      <c r="D929" s="316">
        <v>0</v>
      </c>
      <c r="E929" s="316">
        <v>0</v>
      </c>
      <c r="F929" s="316">
        <v>0</v>
      </c>
      <c r="G929" s="529">
        <f t="array" ref="G929">SUM(IF(CertFund&amp;CertProg&amp;CertObj=RIGHT(LEFT($A$2,7),2)&amp;LEFT(A926,4)&amp;B927,CertBen))</f>
        <v>0</v>
      </c>
      <c r="H929" s="527">
        <v>0</v>
      </c>
      <c r="I929" s="566">
        <f>SUM(G929+H929)</f>
        <v>0</v>
      </c>
    </row>
    <row r="930" spans="1:9" x14ac:dyDescent="0.15">
      <c r="A930" s="138"/>
      <c r="B930" s="521" t="s">
        <v>1578</v>
      </c>
      <c r="C930" s="138" t="s">
        <v>511</v>
      </c>
      <c r="D930" s="147">
        <v>0</v>
      </c>
      <c r="E930" s="147">
        <v>0</v>
      </c>
      <c r="F930" s="147">
        <v>0</v>
      </c>
      <c r="G930" s="147">
        <v>0</v>
      </c>
      <c r="H930" s="150">
        <v>0</v>
      </c>
      <c r="I930" s="567">
        <f>SUM(G930+H930)</f>
        <v>0</v>
      </c>
    </row>
    <row r="931" spans="1:9" x14ac:dyDescent="0.15">
      <c r="A931" s="138"/>
      <c r="B931" s="523" t="s">
        <v>1579</v>
      </c>
      <c r="C931" s="524" t="s">
        <v>118</v>
      </c>
      <c r="D931" s="144">
        <v>0</v>
      </c>
      <c r="E931" s="144">
        <v>0</v>
      </c>
      <c r="F931" s="144">
        <v>0</v>
      </c>
      <c r="G931" s="291">
        <v>0</v>
      </c>
      <c r="H931" s="150">
        <v>0</v>
      </c>
      <c r="I931" s="567">
        <f t="shared" ref="I931:I961" si="25">SUM(G931+H931)</f>
        <v>0</v>
      </c>
    </row>
    <row r="932" spans="1:9" x14ac:dyDescent="0.15">
      <c r="A932" s="138"/>
      <c r="B932" s="523" t="s">
        <v>1580</v>
      </c>
      <c r="C932" s="524" t="s">
        <v>119</v>
      </c>
      <c r="D932" s="144">
        <v>0</v>
      </c>
      <c r="E932" s="144">
        <v>0</v>
      </c>
      <c r="F932" s="144">
        <v>0</v>
      </c>
      <c r="G932" s="291">
        <v>0</v>
      </c>
      <c r="H932" s="150">
        <v>0</v>
      </c>
      <c r="I932" s="567">
        <f t="shared" si="25"/>
        <v>0</v>
      </c>
    </row>
    <row r="933" spans="1:9" x14ac:dyDescent="0.15">
      <c r="A933" s="138"/>
      <c r="B933" s="523" t="s">
        <v>120</v>
      </c>
      <c r="C933" s="524" t="s">
        <v>121</v>
      </c>
      <c r="D933" s="144">
        <v>0</v>
      </c>
      <c r="E933" s="144">
        <v>0</v>
      </c>
      <c r="F933" s="144">
        <v>0</v>
      </c>
      <c r="G933" s="291">
        <v>0</v>
      </c>
      <c r="H933" s="150">
        <v>0</v>
      </c>
      <c r="I933" s="567">
        <f t="shared" si="25"/>
        <v>0</v>
      </c>
    </row>
    <row r="934" spans="1:9" x14ac:dyDescent="0.15">
      <c r="A934" s="138"/>
      <c r="B934" s="523" t="s">
        <v>122</v>
      </c>
      <c r="C934" s="524" t="s">
        <v>123</v>
      </c>
      <c r="D934" s="144">
        <v>0</v>
      </c>
      <c r="E934" s="144">
        <v>0</v>
      </c>
      <c r="F934" s="144">
        <v>0</v>
      </c>
      <c r="G934" s="291">
        <v>0</v>
      </c>
      <c r="H934" s="150">
        <v>0</v>
      </c>
      <c r="I934" s="567">
        <f t="shared" si="25"/>
        <v>0</v>
      </c>
    </row>
    <row r="935" spans="1:9" x14ac:dyDescent="0.15">
      <c r="A935" s="138"/>
      <c r="B935" s="523" t="s">
        <v>1581</v>
      </c>
      <c r="C935" s="524" t="s">
        <v>124</v>
      </c>
      <c r="D935" s="144">
        <v>0</v>
      </c>
      <c r="E935" s="144">
        <v>0</v>
      </c>
      <c r="F935" s="144">
        <v>0</v>
      </c>
      <c r="G935" s="291">
        <v>0</v>
      </c>
      <c r="H935" s="150">
        <v>0</v>
      </c>
      <c r="I935" s="567">
        <f t="shared" si="25"/>
        <v>0</v>
      </c>
    </row>
    <row r="936" spans="1:9" x14ac:dyDescent="0.15">
      <c r="A936" s="138"/>
      <c r="B936" s="523" t="s">
        <v>127</v>
      </c>
      <c r="C936" s="524" t="s">
        <v>134</v>
      </c>
      <c r="D936" s="144">
        <v>0</v>
      </c>
      <c r="E936" s="144">
        <v>0</v>
      </c>
      <c r="F936" s="144">
        <v>0</v>
      </c>
      <c r="G936" s="291">
        <v>0</v>
      </c>
      <c r="H936" s="150">
        <v>0</v>
      </c>
      <c r="I936" s="567">
        <f t="shared" si="25"/>
        <v>0</v>
      </c>
    </row>
    <row r="937" spans="1:9" x14ac:dyDescent="0.15">
      <c r="A937" s="138"/>
      <c r="B937" s="523" t="s">
        <v>128</v>
      </c>
      <c r="C937" s="524" t="s">
        <v>135</v>
      </c>
      <c r="D937" s="144">
        <v>0</v>
      </c>
      <c r="E937" s="144">
        <v>0</v>
      </c>
      <c r="F937" s="144">
        <v>0</v>
      </c>
      <c r="G937" s="291">
        <v>0</v>
      </c>
      <c r="H937" s="150">
        <v>0</v>
      </c>
      <c r="I937" s="567">
        <f t="shared" si="25"/>
        <v>0</v>
      </c>
    </row>
    <row r="938" spans="1:9" x14ac:dyDescent="0.15">
      <c r="A938" s="138"/>
      <c r="B938" s="523" t="s">
        <v>132</v>
      </c>
      <c r="C938" s="524" t="s">
        <v>1617</v>
      </c>
      <c r="D938" s="144">
        <v>0</v>
      </c>
      <c r="E938" s="144">
        <v>0</v>
      </c>
      <c r="F938" s="144">
        <v>0</v>
      </c>
      <c r="G938" s="291">
        <v>0</v>
      </c>
      <c r="H938" s="150">
        <v>0</v>
      </c>
      <c r="I938" s="567">
        <f t="shared" si="25"/>
        <v>0</v>
      </c>
    </row>
    <row r="939" spans="1:9" x14ac:dyDescent="0.15">
      <c r="A939" s="138"/>
      <c r="B939" s="523" t="s">
        <v>1618</v>
      </c>
      <c r="C939" s="524" t="s">
        <v>836</v>
      </c>
      <c r="D939" s="144">
        <v>0</v>
      </c>
      <c r="E939" s="144">
        <v>0</v>
      </c>
      <c r="F939" s="144">
        <v>0</v>
      </c>
      <c r="G939" s="291">
        <v>0</v>
      </c>
      <c r="H939" s="150">
        <v>0</v>
      </c>
      <c r="I939" s="567">
        <f t="shared" si="25"/>
        <v>0</v>
      </c>
    </row>
    <row r="940" spans="1:9" x14ac:dyDescent="0.15">
      <c r="A940" s="138"/>
      <c r="B940" s="523" t="s">
        <v>1619</v>
      </c>
      <c r="C940" s="524" t="s">
        <v>837</v>
      </c>
      <c r="D940" s="144">
        <v>0</v>
      </c>
      <c r="E940" s="144">
        <v>0</v>
      </c>
      <c r="F940" s="144">
        <v>0</v>
      </c>
      <c r="G940" s="291">
        <v>0</v>
      </c>
      <c r="H940" s="150">
        <v>0</v>
      </c>
      <c r="I940" s="567">
        <f t="shared" si="25"/>
        <v>0</v>
      </c>
    </row>
    <row r="941" spans="1:9" x14ac:dyDescent="0.15">
      <c r="A941" s="138"/>
      <c r="B941" s="523" t="s">
        <v>1620</v>
      </c>
      <c r="C941" s="524" t="s">
        <v>838</v>
      </c>
      <c r="D941" s="144">
        <v>0</v>
      </c>
      <c r="E941" s="144">
        <v>0</v>
      </c>
      <c r="F941" s="144">
        <v>0</v>
      </c>
      <c r="G941" s="291">
        <v>0</v>
      </c>
      <c r="H941" s="150">
        <v>0</v>
      </c>
      <c r="I941" s="567">
        <f t="shared" si="25"/>
        <v>0</v>
      </c>
    </row>
    <row r="942" spans="1:9" x14ac:dyDescent="0.15">
      <c r="A942" s="138"/>
      <c r="B942" s="523" t="s">
        <v>1621</v>
      </c>
      <c r="C942" s="524" t="s">
        <v>839</v>
      </c>
      <c r="D942" s="144">
        <v>0</v>
      </c>
      <c r="E942" s="144">
        <v>0</v>
      </c>
      <c r="F942" s="144">
        <v>0</v>
      </c>
      <c r="G942" s="291">
        <v>0</v>
      </c>
      <c r="H942" s="150">
        <v>0</v>
      </c>
      <c r="I942" s="567">
        <f t="shared" si="25"/>
        <v>0</v>
      </c>
    </row>
    <row r="943" spans="1:9" x14ac:dyDescent="0.15">
      <c r="A943" s="138"/>
      <c r="B943" s="523" t="s">
        <v>1622</v>
      </c>
      <c r="C943" s="524" t="s">
        <v>190</v>
      </c>
      <c r="D943" s="144">
        <v>0</v>
      </c>
      <c r="E943" s="144">
        <v>0</v>
      </c>
      <c r="F943" s="144">
        <v>0</v>
      </c>
      <c r="G943" s="291">
        <v>0</v>
      </c>
      <c r="H943" s="150">
        <v>0</v>
      </c>
      <c r="I943" s="567">
        <f t="shared" si="25"/>
        <v>0</v>
      </c>
    </row>
    <row r="944" spans="1:9" x14ac:dyDescent="0.15">
      <c r="A944" s="138"/>
      <c r="B944" s="523" t="s">
        <v>1623</v>
      </c>
      <c r="C944" s="524" t="s">
        <v>191</v>
      </c>
      <c r="D944" s="144">
        <v>0</v>
      </c>
      <c r="E944" s="144">
        <v>0</v>
      </c>
      <c r="F944" s="144">
        <v>0</v>
      </c>
      <c r="G944" s="291">
        <v>0</v>
      </c>
      <c r="H944" s="150">
        <v>0</v>
      </c>
      <c r="I944" s="567">
        <f t="shared" si="25"/>
        <v>0</v>
      </c>
    </row>
    <row r="945" spans="1:9" x14ac:dyDescent="0.15">
      <c r="A945" s="138"/>
      <c r="B945" s="523" t="s">
        <v>1624</v>
      </c>
      <c r="C945" s="524" t="s">
        <v>840</v>
      </c>
      <c r="D945" s="144">
        <v>0</v>
      </c>
      <c r="E945" s="144">
        <v>0</v>
      </c>
      <c r="F945" s="144">
        <v>0</v>
      </c>
      <c r="G945" s="291">
        <v>0</v>
      </c>
      <c r="H945" s="150">
        <v>0</v>
      </c>
      <c r="I945" s="567">
        <f t="shared" si="25"/>
        <v>0</v>
      </c>
    </row>
    <row r="946" spans="1:9" x14ac:dyDescent="0.15">
      <c r="A946" s="138"/>
      <c r="B946" s="523" t="s">
        <v>1625</v>
      </c>
      <c r="C946" s="524" t="s">
        <v>842</v>
      </c>
      <c r="D946" s="144">
        <v>0</v>
      </c>
      <c r="E946" s="144">
        <v>0</v>
      </c>
      <c r="F946" s="144">
        <v>0</v>
      </c>
      <c r="G946" s="291">
        <v>0</v>
      </c>
      <c r="H946" s="150">
        <v>0</v>
      </c>
      <c r="I946" s="567">
        <f t="shared" si="25"/>
        <v>0</v>
      </c>
    </row>
    <row r="947" spans="1:9" x14ac:dyDescent="0.15">
      <c r="A947" s="138"/>
      <c r="B947" s="523" t="s">
        <v>843</v>
      </c>
      <c r="C947" s="524" t="s">
        <v>848</v>
      </c>
      <c r="D947" s="144">
        <v>0</v>
      </c>
      <c r="E947" s="144">
        <v>0</v>
      </c>
      <c r="F947" s="144">
        <v>0</v>
      </c>
      <c r="G947" s="291">
        <v>0</v>
      </c>
      <c r="H947" s="150">
        <v>0</v>
      </c>
      <c r="I947" s="567">
        <f t="shared" si="25"/>
        <v>0</v>
      </c>
    </row>
    <row r="948" spans="1:9" x14ac:dyDescent="0.15">
      <c r="A948" s="138"/>
      <c r="B948" s="523" t="s">
        <v>844</v>
      </c>
      <c r="C948" s="524" t="s">
        <v>153</v>
      </c>
      <c r="D948" s="144">
        <v>0</v>
      </c>
      <c r="E948" s="144">
        <v>0</v>
      </c>
      <c r="F948" s="144">
        <v>0</v>
      </c>
      <c r="G948" s="291">
        <v>0</v>
      </c>
      <c r="H948" s="150">
        <v>0</v>
      </c>
      <c r="I948" s="567">
        <f t="shared" si="25"/>
        <v>0</v>
      </c>
    </row>
    <row r="949" spans="1:9" x14ac:dyDescent="0.15">
      <c r="A949" s="138"/>
      <c r="B949" s="523" t="s">
        <v>845</v>
      </c>
      <c r="C949" s="524" t="s">
        <v>154</v>
      </c>
      <c r="D949" s="144">
        <v>0</v>
      </c>
      <c r="E949" s="144">
        <v>0</v>
      </c>
      <c r="F949" s="144">
        <v>0</v>
      </c>
      <c r="G949" s="291">
        <v>0</v>
      </c>
      <c r="H949" s="150">
        <v>0</v>
      </c>
      <c r="I949" s="567">
        <f t="shared" si="25"/>
        <v>0</v>
      </c>
    </row>
    <row r="950" spans="1:9" x14ac:dyDescent="0.15">
      <c r="A950" s="138"/>
      <c r="B950" s="523" t="s">
        <v>846</v>
      </c>
      <c r="C950" s="524" t="s">
        <v>155</v>
      </c>
      <c r="D950" s="144">
        <v>0</v>
      </c>
      <c r="E950" s="144">
        <v>0</v>
      </c>
      <c r="F950" s="144">
        <v>0</v>
      </c>
      <c r="G950" s="291">
        <v>0</v>
      </c>
      <c r="H950" s="150">
        <v>0</v>
      </c>
      <c r="I950" s="567">
        <f t="shared" si="25"/>
        <v>0</v>
      </c>
    </row>
    <row r="951" spans="1:9" x14ac:dyDescent="0.15">
      <c r="A951" s="138"/>
      <c r="B951" s="523" t="s">
        <v>1582</v>
      </c>
      <c r="C951" s="524" t="s">
        <v>156</v>
      </c>
      <c r="D951" s="144">
        <v>0</v>
      </c>
      <c r="E951" s="144">
        <v>0</v>
      </c>
      <c r="F951" s="144">
        <v>0</v>
      </c>
      <c r="G951" s="291">
        <v>0</v>
      </c>
      <c r="H951" s="150">
        <v>0</v>
      </c>
      <c r="I951" s="567">
        <f t="shared" si="25"/>
        <v>0</v>
      </c>
    </row>
    <row r="952" spans="1:9" x14ac:dyDescent="0.15">
      <c r="A952" s="138"/>
      <c r="B952" s="523" t="s">
        <v>847</v>
      </c>
      <c r="C952" s="524" t="s">
        <v>157</v>
      </c>
      <c r="D952" s="144">
        <v>0</v>
      </c>
      <c r="E952" s="144">
        <v>0</v>
      </c>
      <c r="F952" s="144">
        <v>0</v>
      </c>
      <c r="G952" s="291">
        <v>0</v>
      </c>
      <c r="H952" s="150">
        <v>0</v>
      </c>
      <c r="I952" s="567">
        <f t="shared" si="25"/>
        <v>0</v>
      </c>
    </row>
    <row r="953" spans="1:9" x14ac:dyDescent="0.15">
      <c r="A953" s="138"/>
      <c r="B953" s="523" t="s">
        <v>1583</v>
      </c>
      <c r="C953" s="524" t="s">
        <v>160</v>
      </c>
      <c r="D953" s="144">
        <v>0</v>
      </c>
      <c r="E953" s="144">
        <v>0</v>
      </c>
      <c r="F953" s="144">
        <v>0</v>
      </c>
      <c r="G953" s="291">
        <v>0</v>
      </c>
      <c r="H953" s="150">
        <v>0</v>
      </c>
      <c r="I953" s="567">
        <f t="shared" si="25"/>
        <v>0</v>
      </c>
    </row>
    <row r="954" spans="1:9" x14ac:dyDescent="0.15">
      <c r="A954" s="138"/>
      <c r="B954" s="523" t="s">
        <v>634</v>
      </c>
      <c r="C954" s="524" t="s">
        <v>165</v>
      </c>
      <c r="D954" s="144">
        <v>0</v>
      </c>
      <c r="E954" s="144">
        <v>0</v>
      </c>
      <c r="F954" s="144">
        <v>0</v>
      </c>
      <c r="G954" s="291">
        <v>0</v>
      </c>
      <c r="H954" s="150">
        <v>0</v>
      </c>
      <c r="I954" s="567">
        <f t="shared" si="25"/>
        <v>0</v>
      </c>
    </row>
    <row r="955" spans="1:9" x14ac:dyDescent="0.15">
      <c r="A955" s="138"/>
      <c r="B955" s="523" t="s">
        <v>630</v>
      </c>
      <c r="C955" s="524" t="s">
        <v>172</v>
      </c>
      <c r="D955" s="144">
        <v>0</v>
      </c>
      <c r="E955" s="144">
        <v>0</v>
      </c>
      <c r="F955" s="144">
        <v>0</v>
      </c>
      <c r="G955" s="291">
        <v>0</v>
      </c>
      <c r="H955" s="150">
        <v>0</v>
      </c>
      <c r="I955" s="567">
        <f t="shared" si="25"/>
        <v>0</v>
      </c>
    </row>
    <row r="956" spans="1:9" x14ac:dyDescent="0.15">
      <c r="A956" s="138"/>
      <c r="B956" s="650" t="s">
        <v>631</v>
      </c>
      <c r="C956" s="651" t="s">
        <v>173</v>
      </c>
      <c r="D956" s="144">
        <v>0</v>
      </c>
      <c r="E956" s="144">
        <v>0</v>
      </c>
      <c r="F956" s="144">
        <v>0</v>
      </c>
      <c r="G956" s="291">
        <v>0</v>
      </c>
      <c r="H956" s="150">
        <v>0</v>
      </c>
      <c r="I956" s="567">
        <f t="shared" si="25"/>
        <v>0</v>
      </c>
    </row>
    <row r="957" spans="1:9" x14ac:dyDescent="0.15">
      <c r="A957" s="138"/>
      <c r="B957" s="523" t="s">
        <v>1584</v>
      </c>
      <c r="C957" s="524" t="s">
        <v>178</v>
      </c>
      <c r="D957" s="144">
        <v>0</v>
      </c>
      <c r="E957" s="144">
        <v>0</v>
      </c>
      <c r="F957" s="144">
        <v>0</v>
      </c>
      <c r="G957" s="291">
        <v>0</v>
      </c>
      <c r="H957" s="150">
        <v>0</v>
      </c>
      <c r="I957" s="567">
        <f t="shared" si="25"/>
        <v>0</v>
      </c>
    </row>
    <row r="958" spans="1:9" x14ac:dyDescent="0.15">
      <c r="A958" s="138"/>
      <c r="B958" s="523" t="s">
        <v>174</v>
      </c>
      <c r="C958" s="524" t="s">
        <v>179</v>
      </c>
      <c r="D958" s="144">
        <v>0</v>
      </c>
      <c r="E958" s="144">
        <v>0</v>
      </c>
      <c r="F958" s="144">
        <v>0</v>
      </c>
      <c r="G958" s="291">
        <v>0</v>
      </c>
      <c r="H958" s="150">
        <v>0</v>
      </c>
      <c r="I958" s="567">
        <f t="shared" si="25"/>
        <v>0</v>
      </c>
    </row>
    <row r="959" spans="1:9" x14ac:dyDescent="0.15">
      <c r="A959" s="138"/>
      <c r="B959" s="523" t="s">
        <v>175</v>
      </c>
      <c r="C959" s="524" t="s">
        <v>180</v>
      </c>
      <c r="D959" s="144">
        <v>0</v>
      </c>
      <c r="E959" s="144">
        <v>0</v>
      </c>
      <c r="F959" s="144">
        <v>0</v>
      </c>
      <c r="G959" s="291">
        <v>0</v>
      </c>
      <c r="H959" s="150">
        <v>0</v>
      </c>
      <c r="I959" s="567">
        <f t="shared" si="25"/>
        <v>0</v>
      </c>
    </row>
    <row r="960" spans="1:9" ht="11.25" thickBot="1" x14ac:dyDescent="0.2">
      <c r="A960" s="138"/>
      <c r="B960" s="523" t="s">
        <v>176</v>
      </c>
      <c r="C960" s="524" t="s">
        <v>181</v>
      </c>
      <c r="D960" s="144">
        <v>0</v>
      </c>
      <c r="E960" s="144">
        <v>0</v>
      </c>
      <c r="F960" s="144">
        <v>0</v>
      </c>
      <c r="G960" s="291">
        <v>0</v>
      </c>
      <c r="H960" s="150">
        <v>0</v>
      </c>
      <c r="I960" s="567">
        <f t="shared" si="25"/>
        <v>0</v>
      </c>
    </row>
    <row r="961" spans="1:9" ht="12" thickTop="1" thickBot="1" x14ac:dyDescent="0.2">
      <c r="A961" s="138"/>
      <c r="B961" s="523"/>
      <c r="C961" s="524" t="s">
        <v>385</v>
      </c>
      <c r="D961" s="169">
        <f>SUM(D927:D960)</f>
        <v>0</v>
      </c>
      <c r="E961" s="169">
        <f>SUM(E927:E960)</f>
        <v>0</v>
      </c>
      <c r="F961" s="169">
        <f>SUM(F927:F960)</f>
        <v>0</v>
      </c>
      <c r="G961" s="169">
        <f>SUM(G927:G960)</f>
        <v>0</v>
      </c>
      <c r="H961" s="169">
        <f>SUM(H927:H960)</f>
        <v>0</v>
      </c>
      <c r="I961" s="169">
        <f t="shared" si="25"/>
        <v>0</v>
      </c>
    </row>
    <row r="962" spans="1:9" ht="11.25" thickTop="1" x14ac:dyDescent="0.15">
      <c r="A962" s="138"/>
      <c r="B962" s="524"/>
      <c r="C962" s="524"/>
      <c r="D962" s="14"/>
      <c r="E962" s="14"/>
      <c r="F962" s="14"/>
      <c r="G962" s="14"/>
      <c r="H962" s="14"/>
      <c r="I962" s="563"/>
    </row>
    <row r="963" spans="1:9" x14ac:dyDescent="0.15">
      <c r="A963" s="522" t="s">
        <v>1513</v>
      </c>
      <c r="B963" s="524"/>
      <c r="C963" s="524"/>
      <c r="D963" s="14"/>
      <c r="E963" s="14"/>
      <c r="F963" s="14"/>
      <c r="G963" s="14"/>
      <c r="H963" s="14"/>
      <c r="I963" s="563"/>
    </row>
    <row r="964" spans="1:9" x14ac:dyDescent="0.15">
      <c r="A964" s="434"/>
      <c r="B964" s="523" t="s">
        <v>1577</v>
      </c>
      <c r="C964" s="524" t="s">
        <v>228</v>
      </c>
      <c r="D964" s="316">
        <v>0</v>
      </c>
      <c r="E964" s="316">
        <v>0</v>
      </c>
      <c r="F964" s="316">
        <v>0</v>
      </c>
      <c r="G964" s="528">
        <f t="array" ref="G964">SUM(IF(CertFund&amp;CertProg&amp;CertObj=RIGHT(LEFT($A$2,7),2)&amp;LEFT(A963,4)&amp;B964,CertSalary))</f>
        <v>0</v>
      </c>
      <c r="H964" s="527">
        <v>0</v>
      </c>
      <c r="I964" s="566">
        <f>SUM(G964+H964)</f>
        <v>0</v>
      </c>
    </row>
    <row r="965" spans="1:9" x14ac:dyDescent="0.15">
      <c r="A965" s="434"/>
      <c r="B965" s="523" t="s">
        <v>1577</v>
      </c>
      <c r="C965" s="524" t="s">
        <v>510</v>
      </c>
      <c r="D965" s="316">
        <v>0</v>
      </c>
      <c r="E965" s="316">
        <v>0</v>
      </c>
      <c r="F965" s="316">
        <v>0</v>
      </c>
      <c r="G965" s="316">
        <v>0</v>
      </c>
      <c r="H965" s="527">
        <v>0</v>
      </c>
      <c r="I965" s="566">
        <f>SUM(G965+H965)</f>
        <v>0</v>
      </c>
    </row>
    <row r="966" spans="1:9" x14ac:dyDescent="0.15">
      <c r="A966" s="524"/>
      <c r="B966" s="523" t="s">
        <v>1578</v>
      </c>
      <c r="C966" s="524" t="s">
        <v>936</v>
      </c>
      <c r="D966" s="316">
        <v>0</v>
      </c>
      <c r="E966" s="316">
        <v>0</v>
      </c>
      <c r="F966" s="316">
        <v>0</v>
      </c>
      <c r="G966" s="529">
        <f t="array" ref="G966">SUM(IF(CertFund&amp;CertProg&amp;CertObj=RIGHT(LEFT($A$2,7),2)&amp;LEFT(A963,4)&amp;B964,CertBen))</f>
        <v>0</v>
      </c>
      <c r="H966" s="527">
        <v>0</v>
      </c>
      <c r="I966" s="566">
        <f>SUM(G966+H966)</f>
        <v>0</v>
      </c>
    </row>
    <row r="967" spans="1:9" x14ac:dyDescent="0.15">
      <c r="A967" s="138"/>
      <c r="B967" s="521" t="s">
        <v>1578</v>
      </c>
      <c r="C967" s="138" t="s">
        <v>511</v>
      </c>
      <c r="D967" s="147">
        <v>0</v>
      </c>
      <c r="E967" s="147">
        <v>0</v>
      </c>
      <c r="F967" s="147">
        <v>0</v>
      </c>
      <c r="G967" s="147">
        <v>0</v>
      </c>
      <c r="H967" s="150">
        <v>0</v>
      </c>
      <c r="I967" s="567">
        <f>SUM(G967+H967)</f>
        <v>0</v>
      </c>
    </row>
    <row r="968" spans="1:9" x14ac:dyDescent="0.15">
      <c r="A968" s="138"/>
      <c r="B968" s="523" t="s">
        <v>1579</v>
      </c>
      <c r="C968" s="524" t="s">
        <v>118</v>
      </c>
      <c r="D968" s="144">
        <v>0</v>
      </c>
      <c r="E968" s="144">
        <v>0</v>
      </c>
      <c r="F968" s="144">
        <v>0</v>
      </c>
      <c r="G968" s="144">
        <v>0</v>
      </c>
      <c r="H968" s="150">
        <v>0</v>
      </c>
      <c r="I968" s="567">
        <f t="shared" ref="I968:I998" si="26">SUM(G968+H968)</f>
        <v>0</v>
      </c>
    </row>
    <row r="969" spans="1:9" x14ac:dyDescent="0.15">
      <c r="A969" s="138"/>
      <c r="B969" s="523" t="s">
        <v>1580</v>
      </c>
      <c r="C969" s="524" t="s">
        <v>119</v>
      </c>
      <c r="D969" s="144">
        <v>0</v>
      </c>
      <c r="E969" s="144">
        <v>0</v>
      </c>
      <c r="F969" s="144">
        <v>0</v>
      </c>
      <c r="G969" s="144">
        <v>0</v>
      </c>
      <c r="H969" s="150">
        <v>0</v>
      </c>
      <c r="I969" s="567">
        <f t="shared" si="26"/>
        <v>0</v>
      </c>
    </row>
    <row r="970" spans="1:9" x14ac:dyDescent="0.15">
      <c r="A970" s="138"/>
      <c r="B970" s="523" t="s">
        <v>120</v>
      </c>
      <c r="C970" s="524" t="s">
        <v>121</v>
      </c>
      <c r="D970" s="144">
        <v>0</v>
      </c>
      <c r="E970" s="144">
        <v>0</v>
      </c>
      <c r="F970" s="144">
        <v>0</v>
      </c>
      <c r="G970" s="144">
        <v>0</v>
      </c>
      <c r="H970" s="150">
        <v>0</v>
      </c>
      <c r="I970" s="567">
        <f t="shared" si="26"/>
        <v>0</v>
      </c>
    </row>
    <row r="971" spans="1:9" x14ac:dyDescent="0.15">
      <c r="A971" s="138"/>
      <c r="B971" s="523" t="s">
        <v>122</v>
      </c>
      <c r="C971" s="524" t="s">
        <v>123</v>
      </c>
      <c r="D971" s="144">
        <v>0</v>
      </c>
      <c r="E971" s="144">
        <v>0</v>
      </c>
      <c r="F971" s="144">
        <v>0</v>
      </c>
      <c r="G971" s="144">
        <v>0</v>
      </c>
      <c r="H971" s="150">
        <v>0</v>
      </c>
      <c r="I971" s="567">
        <f t="shared" si="26"/>
        <v>0</v>
      </c>
    </row>
    <row r="972" spans="1:9" x14ac:dyDescent="0.15">
      <c r="A972" s="138"/>
      <c r="B972" s="523" t="s">
        <v>1581</v>
      </c>
      <c r="C972" s="524" t="s">
        <v>124</v>
      </c>
      <c r="D972" s="144">
        <v>0</v>
      </c>
      <c r="E972" s="144">
        <v>0</v>
      </c>
      <c r="F972" s="144">
        <v>0</v>
      </c>
      <c r="G972" s="144">
        <v>0</v>
      </c>
      <c r="H972" s="150">
        <v>0</v>
      </c>
      <c r="I972" s="567">
        <f t="shared" si="26"/>
        <v>0</v>
      </c>
    </row>
    <row r="973" spans="1:9" x14ac:dyDescent="0.15">
      <c r="A973" s="138"/>
      <c r="B973" s="523" t="s">
        <v>127</v>
      </c>
      <c r="C973" s="524" t="s">
        <v>134</v>
      </c>
      <c r="D973" s="144">
        <v>0</v>
      </c>
      <c r="E973" s="144">
        <v>0</v>
      </c>
      <c r="F973" s="144">
        <v>0</v>
      </c>
      <c r="G973" s="144">
        <v>0</v>
      </c>
      <c r="H973" s="150">
        <v>0</v>
      </c>
      <c r="I973" s="567">
        <f t="shared" si="26"/>
        <v>0</v>
      </c>
    </row>
    <row r="974" spans="1:9" x14ac:dyDescent="0.15">
      <c r="A974" s="138"/>
      <c r="B974" s="523" t="s">
        <v>128</v>
      </c>
      <c r="C974" s="524" t="s">
        <v>135</v>
      </c>
      <c r="D974" s="144">
        <v>0</v>
      </c>
      <c r="E974" s="144">
        <v>0</v>
      </c>
      <c r="F974" s="144">
        <v>0</v>
      </c>
      <c r="G974" s="144">
        <v>0</v>
      </c>
      <c r="H974" s="150">
        <v>0</v>
      </c>
      <c r="I974" s="567">
        <f t="shared" si="26"/>
        <v>0</v>
      </c>
    </row>
    <row r="975" spans="1:9" x14ac:dyDescent="0.15">
      <c r="A975" s="138"/>
      <c r="B975" s="523" t="s">
        <v>132</v>
      </c>
      <c r="C975" s="524" t="s">
        <v>1617</v>
      </c>
      <c r="D975" s="144">
        <v>0</v>
      </c>
      <c r="E975" s="144">
        <v>0</v>
      </c>
      <c r="F975" s="144">
        <v>0</v>
      </c>
      <c r="G975" s="144">
        <v>0</v>
      </c>
      <c r="H975" s="150">
        <v>0</v>
      </c>
      <c r="I975" s="567">
        <f t="shared" si="26"/>
        <v>0</v>
      </c>
    </row>
    <row r="976" spans="1:9" x14ac:dyDescent="0.15">
      <c r="A976" s="138"/>
      <c r="B976" s="523" t="s">
        <v>1618</v>
      </c>
      <c r="C976" s="524" t="s">
        <v>836</v>
      </c>
      <c r="D976" s="144">
        <v>0</v>
      </c>
      <c r="E976" s="144">
        <v>0</v>
      </c>
      <c r="F976" s="144">
        <v>0</v>
      </c>
      <c r="G976" s="144">
        <v>0</v>
      </c>
      <c r="H976" s="150">
        <v>0</v>
      </c>
      <c r="I976" s="567">
        <f t="shared" si="26"/>
        <v>0</v>
      </c>
    </row>
    <row r="977" spans="1:9" x14ac:dyDescent="0.15">
      <c r="A977" s="138"/>
      <c r="B977" s="523" t="s">
        <v>1619</v>
      </c>
      <c r="C977" s="524" t="s">
        <v>837</v>
      </c>
      <c r="D977" s="144">
        <v>0</v>
      </c>
      <c r="E977" s="144">
        <v>0</v>
      </c>
      <c r="F977" s="144">
        <v>0</v>
      </c>
      <c r="G977" s="144">
        <v>0</v>
      </c>
      <c r="H977" s="150">
        <v>0</v>
      </c>
      <c r="I977" s="567">
        <f t="shared" si="26"/>
        <v>0</v>
      </c>
    </row>
    <row r="978" spans="1:9" x14ac:dyDescent="0.15">
      <c r="A978" s="138"/>
      <c r="B978" s="523" t="s">
        <v>1620</v>
      </c>
      <c r="C978" s="524" t="s">
        <v>838</v>
      </c>
      <c r="D978" s="144">
        <v>0</v>
      </c>
      <c r="E978" s="144">
        <v>0</v>
      </c>
      <c r="F978" s="144">
        <v>0</v>
      </c>
      <c r="G978" s="144">
        <v>0</v>
      </c>
      <c r="H978" s="150">
        <v>0</v>
      </c>
      <c r="I978" s="567">
        <f t="shared" si="26"/>
        <v>0</v>
      </c>
    </row>
    <row r="979" spans="1:9" x14ac:dyDescent="0.15">
      <c r="A979" s="138"/>
      <c r="B979" s="523" t="s">
        <v>1621</v>
      </c>
      <c r="C979" s="524" t="s">
        <v>839</v>
      </c>
      <c r="D979" s="144">
        <v>0</v>
      </c>
      <c r="E979" s="144">
        <v>0</v>
      </c>
      <c r="F979" s="144">
        <v>0</v>
      </c>
      <c r="G979" s="144">
        <v>0</v>
      </c>
      <c r="H979" s="150">
        <v>0</v>
      </c>
      <c r="I979" s="567">
        <f t="shared" si="26"/>
        <v>0</v>
      </c>
    </row>
    <row r="980" spans="1:9" x14ac:dyDescent="0.15">
      <c r="A980" s="138"/>
      <c r="B980" s="523" t="s">
        <v>1622</v>
      </c>
      <c r="C980" s="524" t="s">
        <v>190</v>
      </c>
      <c r="D980" s="144">
        <v>0</v>
      </c>
      <c r="E980" s="144">
        <v>0</v>
      </c>
      <c r="F980" s="144">
        <v>0</v>
      </c>
      <c r="G980" s="144">
        <v>0</v>
      </c>
      <c r="H980" s="150">
        <v>0</v>
      </c>
      <c r="I980" s="567">
        <f t="shared" si="26"/>
        <v>0</v>
      </c>
    </row>
    <row r="981" spans="1:9" x14ac:dyDescent="0.15">
      <c r="A981" s="138"/>
      <c r="B981" s="523" t="s">
        <v>1623</v>
      </c>
      <c r="C981" s="524" t="s">
        <v>191</v>
      </c>
      <c r="D981" s="144">
        <v>0</v>
      </c>
      <c r="E981" s="144">
        <v>0</v>
      </c>
      <c r="F981" s="144">
        <v>0</v>
      </c>
      <c r="G981" s="144">
        <v>0</v>
      </c>
      <c r="H981" s="150">
        <v>0</v>
      </c>
      <c r="I981" s="567">
        <f t="shared" si="26"/>
        <v>0</v>
      </c>
    </row>
    <row r="982" spans="1:9" x14ac:dyDescent="0.15">
      <c r="A982" s="138"/>
      <c r="B982" s="523" t="s">
        <v>1624</v>
      </c>
      <c r="C982" s="524" t="s">
        <v>840</v>
      </c>
      <c r="D982" s="144">
        <v>0</v>
      </c>
      <c r="E982" s="144">
        <v>0</v>
      </c>
      <c r="F982" s="144">
        <v>0</v>
      </c>
      <c r="G982" s="144">
        <v>0</v>
      </c>
      <c r="H982" s="150">
        <v>0</v>
      </c>
      <c r="I982" s="567">
        <f t="shared" si="26"/>
        <v>0</v>
      </c>
    </row>
    <row r="983" spans="1:9" x14ac:dyDescent="0.15">
      <c r="A983" s="138"/>
      <c r="B983" s="523" t="s">
        <v>1625</v>
      </c>
      <c r="C983" s="524" t="s">
        <v>842</v>
      </c>
      <c r="D983" s="144">
        <v>0</v>
      </c>
      <c r="E983" s="144">
        <v>0</v>
      </c>
      <c r="F983" s="144">
        <v>0</v>
      </c>
      <c r="G983" s="144">
        <v>0</v>
      </c>
      <c r="H983" s="150">
        <v>0</v>
      </c>
      <c r="I983" s="567">
        <f t="shared" si="26"/>
        <v>0</v>
      </c>
    </row>
    <row r="984" spans="1:9" x14ac:dyDescent="0.15">
      <c r="A984" s="138"/>
      <c r="B984" s="523" t="s">
        <v>843</v>
      </c>
      <c r="C984" s="524" t="s">
        <v>848</v>
      </c>
      <c r="D984" s="144">
        <v>0</v>
      </c>
      <c r="E984" s="144">
        <v>0</v>
      </c>
      <c r="F984" s="144">
        <v>0</v>
      </c>
      <c r="G984" s="144">
        <v>0</v>
      </c>
      <c r="H984" s="150">
        <v>0</v>
      </c>
      <c r="I984" s="567">
        <f t="shared" si="26"/>
        <v>0</v>
      </c>
    </row>
    <row r="985" spans="1:9" x14ac:dyDescent="0.15">
      <c r="A985" s="138"/>
      <c r="B985" s="523" t="s">
        <v>844</v>
      </c>
      <c r="C985" s="524" t="s">
        <v>153</v>
      </c>
      <c r="D985" s="144">
        <v>0</v>
      </c>
      <c r="E985" s="144">
        <v>0</v>
      </c>
      <c r="F985" s="144">
        <v>0</v>
      </c>
      <c r="G985" s="144">
        <v>0</v>
      </c>
      <c r="H985" s="150">
        <v>0</v>
      </c>
      <c r="I985" s="567">
        <f t="shared" si="26"/>
        <v>0</v>
      </c>
    </row>
    <row r="986" spans="1:9" x14ac:dyDescent="0.15">
      <c r="A986" s="138"/>
      <c r="B986" s="523" t="s">
        <v>845</v>
      </c>
      <c r="C986" s="524" t="s">
        <v>154</v>
      </c>
      <c r="D986" s="144">
        <v>0</v>
      </c>
      <c r="E986" s="144">
        <v>0</v>
      </c>
      <c r="F986" s="144">
        <v>0</v>
      </c>
      <c r="G986" s="144">
        <v>0</v>
      </c>
      <c r="H986" s="150">
        <v>0</v>
      </c>
      <c r="I986" s="567">
        <f t="shared" si="26"/>
        <v>0</v>
      </c>
    </row>
    <row r="987" spans="1:9" x14ac:dyDescent="0.15">
      <c r="A987" s="138"/>
      <c r="B987" s="523" t="s">
        <v>846</v>
      </c>
      <c r="C987" s="524" t="s">
        <v>155</v>
      </c>
      <c r="D987" s="144">
        <v>0</v>
      </c>
      <c r="E987" s="144">
        <v>0</v>
      </c>
      <c r="F987" s="144">
        <v>0</v>
      </c>
      <c r="G987" s="144">
        <v>0</v>
      </c>
      <c r="H987" s="150">
        <v>0</v>
      </c>
      <c r="I987" s="567">
        <f t="shared" si="26"/>
        <v>0</v>
      </c>
    </row>
    <row r="988" spans="1:9" x14ac:dyDescent="0.15">
      <c r="A988" s="138"/>
      <c r="B988" s="523" t="s">
        <v>1582</v>
      </c>
      <c r="C988" s="524" t="s">
        <v>156</v>
      </c>
      <c r="D988" s="144">
        <v>0</v>
      </c>
      <c r="E988" s="144">
        <v>0</v>
      </c>
      <c r="F988" s="144">
        <v>0</v>
      </c>
      <c r="G988" s="144">
        <v>0</v>
      </c>
      <c r="H988" s="150">
        <v>0</v>
      </c>
      <c r="I988" s="567">
        <f t="shared" si="26"/>
        <v>0</v>
      </c>
    </row>
    <row r="989" spans="1:9" x14ac:dyDescent="0.15">
      <c r="A989" s="138"/>
      <c r="B989" s="523" t="s">
        <v>847</v>
      </c>
      <c r="C989" s="524" t="s">
        <v>157</v>
      </c>
      <c r="D989" s="144">
        <v>0</v>
      </c>
      <c r="E989" s="144">
        <v>0</v>
      </c>
      <c r="F989" s="144">
        <v>0</v>
      </c>
      <c r="G989" s="144">
        <v>0</v>
      </c>
      <c r="H989" s="150">
        <v>0</v>
      </c>
      <c r="I989" s="567">
        <f t="shared" si="26"/>
        <v>0</v>
      </c>
    </row>
    <row r="990" spans="1:9" x14ac:dyDescent="0.15">
      <c r="A990" s="138"/>
      <c r="B990" s="523" t="s">
        <v>1583</v>
      </c>
      <c r="C990" s="524" t="s">
        <v>160</v>
      </c>
      <c r="D990" s="144">
        <v>0</v>
      </c>
      <c r="E990" s="144">
        <v>0</v>
      </c>
      <c r="F990" s="144">
        <v>0</v>
      </c>
      <c r="G990" s="144">
        <v>0</v>
      </c>
      <c r="H990" s="150">
        <v>0</v>
      </c>
      <c r="I990" s="567">
        <f t="shared" si="26"/>
        <v>0</v>
      </c>
    </row>
    <row r="991" spans="1:9" x14ac:dyDescent="0.15">
      <c r="A991" s="138"/>
      <c r="B991" s="523" t="s">
        <v>634</v>
      </c>
      <c r="C991" s="524" t="s">
        <v>165</v>
      </c>
      <c r="D991" s="144">
        <v>0</v>
      </c>
      <c r="E991" s="144">
        <v>0</v>
      </c>
      <c r="F991" s="144">
        <v>0</v>
      </c>
      <c r="G991" s="144">
        <v>0</v>
      </c>
      <c r="H991" s="150">
        <v>0</v>
      </c>
      <c r="I991" s="567">
        <f t="shared" si="26"/>
        <v>0</v>
      </c>
    </row>
    <row r="992" spans="1:9" x14ac:dyDescent="0.15">
      <c r="A992" s="138"/>
      <c r="B992" s="523" t="s">
        <v>630</v>
      </c>
      <c r="C992" s="524" t="s">
        <v>172</v>
      </c>
      <c r="D992" s="144">
        <v>0</v>
      </c>
      <c r="E992" s="144">
        <v>0</v>
      </c>
      <c r="F992" s="144">
        <v>0</v>
      </c>
      <c r="G992" s="144">
        <v>0</v>
      </c>
      <c r="H992" s="150">
        <v>0</v>
      </c>
      <c r="I992" s="567">
        <f t="shared" si="26"/>
        <v>0</v>
      </c>
    </row>
    <row r="993" spans="1:9" x14ac:dyDescent="0.15">
      <c r="A993" s="138"/>
      <c r="B993" s="650" t="s">
        <v>631</v>
      </c>
      <c r="C993" s="651" t="s">
        <v>173</v>
      </c>
      <c r="D993" s="144">
        <v>0</v>
      </c>
      <c r="E993" s="144">
        <v>0</v>
      </c>
      <c r="F993" s="144">
        <v>0</v>
      </c>
      <c r="G993" s="144">
        <v>0</v>
      </c>
      <c r="H993" s="150">
        <v>0</v>
      </c>
      <c r="I993" s="567">
        <f t="shared" si="26"/>
        <v>0</v>
      </c>
    </row>
    <row r="994" spans="1:9" x14ac:dyDescent="0.15">
      <c r="A994" s="138"/>
      <c r="B994" s="523" t="s">
        <v>1584</v>
      </c>
      <c r="C994" s="524" t="s">
        <v>178</v>
      </c>
      <c r="D994" s="144">
        <v>0</v>
      </c>
      <c r="E994" s="144">
        <v>0</v>
      </c>
      <c r="F994" s="144">
        <v>0</v>
      </c>
      <c r="G994" s="144">
        <v>0</v>
      </c>
      <c r="H994" s="150">
        <v>0</v>
      </c>
      <c r="I994" s="567">
        <f t="shared" si="26"/>
        <v>0</v>
      </c>
    </row>
    <row r="995" spans="1:9" x14ac:dyDescent="0.15">
      <c r="A995" s="138"/>
      <c r="B995" s="523" t="s">
        <v>174</v>
      </c>
      <c r="C995" s="524" t="s">
        <v>179</v>
      </c>
      <c r="D995" s="144">
        <v>0</v>
      </c>
      <c r="E995" s="144">
        <v>0</v>
      </c>
      <c r="F995" s="144">
        <v>0</v>
      </c>
      <c r="G995" s="144">
        <v>0</v>
      </c>
      <c r="H995" s="150">
        <v>0</v>
      </c>
      <c r="I995" s="567">
        <f t="shared" si="26"/>
        <v>0</v>
      </c>
    </row>
    <row r="996" spans="1:9" x14ac:dyDescent="0.15">
      <c r="A996" s="138"/>
      <c r="B996" s="523" t="s">
        <v>175</v>
      </c>
      <c r="C996" s="524" t="s">
        <v>180</v>
      </c>
      <c r="D996" s="144">
        <v>0</v>
      </c>
      <c r="E996" s="144">
        <v>0</v>
      </c>
      <c r="F996" s="144">
        <v>0</v>
      </c>
      <c r="G996" s="144">
        <v>0</v>
      </c>
      <c r="H996" s="150">
        <v>0</v>
      </c>
      <c r="I996" s="567">
        <f t="shared" si="26"/>
        <v>0</v>
      </c>
    </row>
    <row r="997" spans="1:9" ht="11.25" thickBot="1" x14ac:dyDescent="0.2">
      <c r="A997" s="138"/>
      <c r="B997" s="523" t="s">
        <v>176</v>
      </c>
      <c r="C997" s="524" t="s">
        <v>181</v>
      </c>
      <c r="D997" s="144">
        <v>0</v>
      </c>
      <c r="E997" s="144">
        <v>0</v>
      </c>
      <c r="F997" s="144">
        <v>0</v>
      </c>
      <c r="G997" s="144">
        <v>0</v>
      </c>
      <c r="H997" s="150">
        <v>0</v>
      </c>
      <c r="I997" s="567">
        <f t="shared" si="26"/>
        <v>0</v>
      </c>
    </row>
    <row r="998" spans="1:9" ht="12" thickTop="1" thickBot="1" x14ac:dyDescent="0.2">
      <c r="A998" s="138"/>
      <c r="B998" s="523"/>
      <c r="C998" s="524" t="s">
        <v>386</v>
      </c>
      <c r="D998" s="169">
        <f>SUM(D964:D997)</f>
        <v>0</v>
      </c>
      <c r="E998" s="169">
        <f>SUM(E964:E997)</f>
        <v>0</v>
      </c>
      <c r="F998" s="169">
        <f>SUM(F964:F997)</f>
        <v>0</v>
      </c>
      <c r="G998" s="169">
        <f>SUM(G964:G997)</f>
        <v>0</v>
      </c>
      <c r="H998" s="169">
        <f>SUM(H964:H997)</f>
        <v>0</v>
      </c>
      <c r="I998" s="169">
        <f t="shared" si="26"/>
        <v>0</v>
      </c>
    </row>
    <row r="999" spans="1:9" ht="11.25" thickTop="1" x14ac:dyDescent="0.15">
      <c r="A999" s="138"/>
      <c r="B999" s="524"/>
      <c r="C999" s="524"/>
      <c r="D999" s="14"/>
      <c r="E999" s="14"/>
      <c r="F999" s="14"/>
      <c r="G999" s="14"/>
      <c r="H999" s="14"/>
      <c r="I999" s="563"/>
    </row>
    <row r="1000" spans="1:9" x14ac:dyDescent="0.15">
      <c r="A1000" s="522" t="s">
        <v>387</v>
      </c>
      <c r="B1000" s="524"/>
      <c r="C1000" s="524"/>
      <c r="D1000" s="14"/>
      <c r="E1000" s="14"/>
      <c r="F1000" s="14"/>
      <c r="G1000" s="14"/>
      <c r="H1000" s="14"/>
      <c r="I1000" s="563"/>
    </row>
    <row r="1001" spans="1:9" x14ac:dyDescent="0.15">
      <c r="A1001" s="434"/>
      <c r="B1001" s="523" t="s">
        <v>1577</v>
      </c>
      <c r="C1001" s="524" t="s">
        <v>228</v>
      </c>
      <c r="D1001" s="316">
        <v>0</v>
      </c>
      <c r="E1001" s="316">
        <v>0</v>
      </c>
      <c r="F1001" s="316">
        <v>0</v>
      </c>
      <c r="G1001" s="528">
        <f t="array" ref="G1001">SUM(IF(CertFund&amp;CertProg&amp;CertObj=RIGHT(LEFT($A$2,7),2)&amp;LEFT(A1000,4)&amp;B1001,CertSalary))</f>
        <v>0</v>
      </c>
      <c r="H1001" s="527">
        <v>0</v>
      </c>
      <c r="I1001" s="566">
        <f>SUM(G1001+H1001)</f>
        <v>0</v>
      </c>
    </row>
    <row r="1002" spans="1:9" x14ac:dyDescent="0.15">
      <c r="A1002" s="434"/>
      <c r="B1002" s="523" t="s">
        <v>1577</v>
      </c>
      <c r="C1002" s="524" t="s">
        <v>510</v>
      </c>
      <c r="D1002" s="316">
        <v>0</v>
      </c>
      <c r="E1002" s="316">
        <v>0</v>
      </c>
      <c r="F1002" s="316">
        <v>0</v>
      </c>
      <c r="G1002" s="316">
        <v>0</v>
      </c>
      <c r="H1002" s="527">
        <v>0</v>
      </c>
      <c r="I1002" s="566">
        <f>SUM(G1002+H1002)</f>
        <v>0</v>
      </c>
    </row>
    <row r="1003" spans="1:9" x14ac:dyDescent="0.15">
      <c r="A1003" s="524"/>
      <c r="B1003" s="523" t="s">
        <v>1578</v>
      </c>
      <c r="C1003" s="524" t="s">
        <v>936</v>
      </c>
      <c r="D1003" s="316">
        <v>0</v>
      </c>
      <c r="E1003" s="316">
        <v>0</v>
      </c>
      <c r="F1003" s="316">
        <v>0</v>
      </c>
      <c r="G1003" s="529">
        <f t="array" ref="G1003">SUM(IF(CertFund&amp;CertProg&amp;CertObj=RIGHT(LEFT($A$2,7),2)&amp;LEFT(A1000,4)&amp;B1001,CertBen))</f>
        <v>0</v>
      </c>
      <c r="H1003" s="527">
        <v>0</v>
      </c>
      <c r="I1003" s="566">
        <f>SUM(G1003+H1003)</f>
        <v>0</v>
      </c>
    </row>
    <row r="1004" spans="1:9" x14ac:dyDescent="0.15">
      <c r="A1004" s="138"/>
      <c r="B1004" s="521" t="s">
        <v>1578</v>
      </c>
      <c r="C1004" s="138" t="s">
        <v>511</v>
      </c>
      <c r="D1004" s="147">
        <v>0</v>
      </c>
      <c r="E1004" s="147">
        <v>0</v>
      </c>
      <c r="F1004" s="147">
        <v>0</v>
      </c>
      <c r="G1004" s="147">
        <v>0</v>
      </c>
      <c r="H1004" s="150">
        <v>0</v>
      </c>
      <c r="I1004" s="567">
        <f>SUM(G1004+H1004)</f>
        <v>0</v>
      </c>
    </row>
    <row r="1005" spans="1:9" x14ac:dyDescent="0.15">
      <c r="A1005" s="138"/>
      <c r="B1005" s="523" t="s">
        <v>1579</v>
      </c>
      <c r="C1005" s="524" t="s">
        <v>118</v>
      </c>
      <c r="D1005" s="144">
        <v>0</v>
      </c>
      <c r="E1005" s="144">
        <v>0</v>
      </c>
      <c r="F1005" s="144">
        <v>0</v>
      </c>
      <c r="G1005" s="144">
        <v>0</v>
      </c>
      <c r="H1005" s="150">
        <v>0</v>
      </c>
      <c r="I1005" s="567">
        <f t="shared" ref="I1005:I1035" si="27">SUM(G1005+H1005)</f>
        <v>0</v>
      </c>
    </row>
    <row r="1006" spans="1:9" x14ac:dyDescent="0.15">
      <c r="A1006" s="138"/>
      <c r="B1006" s="523" t="s">
        <v>1580</v>
      </c>
      <c r="C1006" s="524" t="s">
        <v>119</v>
      </c>
      <c r="D1006" s="144">
        <v>0</v>
      </c>
      <c r="E1006" s="144">
        <v>0</v>
      </c>
      <c r="F1006" s="144">
        <v>0</v>
      </c>
      <c r="G1006" s="144">
        <v>0</v>
      </c>
      <c r="H1006" s="150">
        <v>0</v>
      </c>
      <c r="I1006" s="567">
        <f t="shared" si="27"/>
        <v>0</v>
      </c>
    </row>
    <row r="1007" spans="1:9" x14ac:dyDescent="0.15">
      <c r="A1007" s="138"/>
      <c r="B1007" s="523" t="s">
        <v>120</v>
      </c>
      <c r="C1007" s="524" t="s">
        <v>121</v>
      </c>
      <c r="D1007" s="144">
        <v>0</v>
      </c>
      <c r="E1007" s="144">
        <v>0</v>
      </c>
      <c r="F1007" s="144">
        <v>0</v>
      </c>
      <c r="G1007" s="144">
        <v>0</v>
      </c>
      <c r="H1007" s="150">
        <v>0</v>
      </c>
      <c r="I1007" s="567">
        <f t="shared" si="27"/>
        <v>0</v>
      </c>
    </row>
    <row r="1008" spans="1:9" x14ac:dyDescent="0.15">
      <c r="A1008" s="138"/>
      <c r="B1008" s="523" t="s">
        <v>122</v>
      </c>
      <c r="C1008" s="524" t="s">
        <v>123</v>
      </c>
      <c r="D1008" s="144">
        <v>0</v>
      </c>
      <c r="E1008" s="144">
        <v>0</v>
      </c>
      <c r="F1008" s="144">
        <v>0</v>
      </c>
      <c r="G1008" s="144">
        <v>0</v>
      </c>
      <c r="H1008" s="150">
        <v>0</v>
      </c>
      <c r="I1008" s="567">
        <f t="shared" si="27"/>
        <v>0</v>
      </c>
    </row>
    <row r="1009" spans="1:9" x14ac:dyDescent="0.15">
      <c r="A1009" s="138"/>
      <c r="B1009" s="523" t="s">
        <v>1581</v>
      </c>
      <c r="C1009" s="524" t="s">
        <v>124</v>
      </c>
      <c r="D1009" s="144">
        <v>0</v>
      </c>
      <c r="E1009" s="144">
        <v>0</v>
      </c>
      <c r="F1009" s="144">
        <v>0</v>
      </c>
      <c r="G1009" s="144">
        <v>0</v>
      </c>
      <c r="H1009" s="150">
        <v>0</v>
      </c>
      <c r="I1009" s="567">
        <f t="shared" si="27"/>
        <v>0</v>
      </c>
    </row>
    <row r="1010" spans="1:9" x14ac:dyDescent="0.15">
      <c r="A1010" s="138"/>
      <c r="B1010" s="523" t="s">
        <v>127</v>
      </c>
      <c r="C1010" s="524" t="s">
        <v>134</v>
      </c>
      <c r="D1010" s="144">
        <v>0</v>
      </c>
      <c r="E1010" s="144">
        <v>0</v>
      </c>
      <c r="F1010" s="144">
        <v>0</v>
      </c>
      <c r="G1010" s="144">
        <v>0</v>
      </c>
      <c r="H1010" s="150">
        <v>0</v>
      </c>
      <c r="I1010" s="567">
        <f t="shared" si="27"/>
        <v>0</v>
      </c>
    </row>
    <row r="1011" spans="1:9" x14ac:dyDescent="0.15">
      <c r="A1011" s="138"/>
      <c r="B1011" s="523" t="s">
        <v>128</v>
      </c>
      <c r="C1011" s="524" t="s">
        <v>135</v>
      </c>
      <c r="D1011" s="144">
        <v>0</v>
      </c>
      <c r="E1011" s="144">
        <v>0</v>
      </c>
      <c r="F1011" s="144">
        <v>0</v>
      </c>
      <c r="G1011" s="144">
        <v>0</v>
      </c>
      <c r="H1011" s="150">
        <v>0</v>
      </c>
      <c r="I1011" s="567">
        <f t="shared" si="27"/>
        <v>0</v>
      </c>
    </row>
    <row r="1012" spans="1:9" x14ac:dyDescent="0.15">
      <c r="A1012" s="138"/>
      <c r="B1012" s="523" t="s">
        <v>132</v>
      </c>
      <c r="C1012" s="524" t="s">
        <v>1617</v>
      </c>
      <c r="D1012" s="144">
        <v>0</v>
      </c>
      <c r="E1012" s="144">
        <v>0</v>
      </c>
      <c r="F1012" s="144">
        <v>0</v>
      </c>
      <c r="G1012" s="144">
        <v>0</v>
      </c>
      <c r="H1012" s="150">
        <v>0</v>
      </c>
      <c r="I1012" s="567">
        <f t="shared" si="27"/>
        <v>0</v>
      </c>
    </row>
    <row r="1013" spans="1:9" x14ac:dyDescent="0.15">
      <c r="A1013" s="138"/>
      <c r="B1013" s="523" t="s">
        <v>1618</v>
      </c>
      <c r="C1013" s="524" t="s">
        <v>836</v>
      </c>
      <c r="D1013" s="144">
        <v>0</v>
      </c>
      <c r="E1013" s="144">
        <v>0</v>
      </c>
      <c r="F1013" s="144">
        <v>0</v>
      </c>
      <c r="G1013" s="144">
        <v>0</v>
      </c>
      <c r="H1013" s="150">
        <v>0</v>
      </c>
      <c r="I1013" s="567">
        <f t="shared" si="27"/>
        <v>0</v>
      </c>
    </row>
    <row r="1014" spans="1:9" x14ac:dyDescent="0.15">
      <c r="A1014" s="138"/>
      <c r="B1014" s="523" t="s">
        <v>1619</v>
      </c>
      <c r="C1014" s="524" t="s">
        <v>837</v>
      </c>
      <c r="D1014" s="144">
        <v>0</v>
      </c>
      <c r="E1014" s="144">
        <v>0</v>
      </c>
      <c r="F1014" s="144">
        <v>0</v>
      </c>
      <c r="G1014" s="144">
        <v>0</v>
      </c>
      <c r="H1014" s="150">
        <v>0</v>
      </c>
      <c r="I1014" s="567">
        <f t="shared" si="27"/>
        <v>0</v>
      </c>
    </row>
    <row r="1015" spans="1:9" x14ac:dyDescent="0.15">
      <c r="A1015" s="138"/>
      <c r="B1015" s="523" t="s">
        <v>1620</v>
      </c>
      <c r="C1015" s="524" t="s">
        <v>838</v>
      </c>
      <c r="D1015" s="144">
        <v>0</v>
      </c>
      <c r="E1015" s="144">
        <v>0</v>
      </c>
      <c r="F1015" s="144">
        <v>0</v>
      </c>
      <c r="G1015" s="144">
        <v>0</v>
      </c>
      <c r="H1015" s="150">
        <v>0</v>
      </c>
      <c r="I1015" s="567">
        <f t="shared" si="27"/>
        <v>0</v>
      </c>
    </row>
    <row r="1016" spans="1:9" x14ac:dyDescent="0.15">
      <c r="A1016" s="138"/>
      <c r="B1016" s="523" t="s">
        <v>1621</v>
      </c>
      <c r="C1016" s="524" t="s">
        <v>839</v>
      </c>
      <c r="D1016" s="144">
        <v>0</v>
      </c>
      <c r="E1016" s="144">
        <v>0</v>
      </c>
      <c r="F1016" s="144">
        <v>0</v>
      </c>
      <c r="G1016" s="144">
        <v>0</v>
      </c>
      <c r="H1016" s="150">
        <v>0</v>
      </c>
      <c r="I1016" s="567">
        <f t="shared" si="27"/>
        <v>0</v>
      </c>
    </row>
    <row r="1017" spans="1:9" x14ac:dyDescent="0.15">
      <c r="A1017" s="138"/>
      <c r="B1017" s="523" t="s">
        <v>1622</v>
      </c>
      <c r="C1017" s="524" t="s">
        <v>190</v>
      </c>
      <c r="D1017" s="144">
        <v>0</v>
      </c>
      <c r="E1017" s="144">
        <v>0</v>
      </c>
      <c r="F1017" s="144">
        <v>0</v>
      </c>
      <c r="G1017" s="144">
        <v>0</v>
      </c>
      <c r="H1017" s="150">
        <v>0</v>
      </c>
      <c r="I1017" s="567">
        <f t="shared" si="27"/>
        <v>0</v>
      </c>
    </row>
    <row r="1018" spans="1:9" x14ac:dyDescent="0.15">
      <c r="A1018" s="138"/>
      <c r="B1018" s="523" t="s">
        <v>1623</v>
      </c>
      <c r="C1018" s="524" t="s">
        <v>191</v>
      </c>
      <c r="D1018" s="144">
        <v>0</v>
      </c>
      <c r="E1018" s="144">
        <v>0</v>
      </c>
      <c r="F1018" s="144">
        <v>0</v>
      </c>
      <c r="G1018" s="144">
        <v>0</v>
      </c>
      <c r="H1018" s="150">
        <v>0</v>
      </c>
      <c r="I1018" s="567">
        <f t="shared" si="27"/>
        <v>0</v>
      </c>
    </row>
    <row r="1019" spans="1:9" x14ac:dyDescent="0.15">
      <c r="A1019" s="138"/>
      <c r="B1019" s="523" t="s">
        <v>1624</v>
      </c>
      <c r="C1019" s="524" t="s">
        <v>840</v>
      </c>
      <c r="D1019" s="144">
        <v>0</v>
      </c>
      <c r="E1019" s="144">
        <v>0</v>
      </c>
      <c r="F1019" s="144">
        <v>0</v>
      </c>
      <c r="G1019" s="144">
        <v>0</v>
      </c>
      <c r="H1019" s="150">
        <v>0</v>
      </c>
      <c r="I1019" s="567">
        <f t="shared" si="27"/>
        <v>0</v>
      </c>
    </row>
    <row r="1020" spans="1:9" x14ac:dyDescent="0.15">
      <c r="A1020" s="138"/>
      <c r="B1020" s="523" t="s">
        <v>1625</v>
      </c>
      <c r="C1020" s="524" t="s">
        <v>842</v>
      </c>
      <c r="D1020" s="144">
        <v>0</v>
      </c>
      <c r="E1020" s="144">
        <v>0</v>
      </c>
      <c r="F1020" s="144">
        <v>0</v>
      </c>
      <c r="G1020" s="144">
        <v>0</v>
      </c>
      <c r="H1020" s="150">
        <v>0</v>
      </c>
      <c r="I1020" s="567">
        <f t="shared" si="27"/>
        <v>0</v>
      </c>
    </row>
    <row r="1021" spans="1:9" x14ac:dyDescent="0.15">
      <c r="A1021" s="138"/>
      <c r="B1021" s="523" t="s">
        <v>843</v>
      </c>
      <c r="C1021" s="524" t="s">
        <v>848</v>
      </c>
      <c r="D1021" s="144">
        <v>0</v>
      </c>
      <c r="E1021" s="144">
        <v>0</v>
      </c>
      <c r="F1021" s="144">
        <v>0</v>
      </c>
      <c r="G1021" s="144">
        <v>0</v>
      </c>
      <c r="H1021" s="150">
        <v>0</v>
      </c>
      <c r="I1021" s="567">
        <f t="shared" si="27"/>
        <v>0</v>
      </c>
    </row>
    <row r="1022" spans="1:9" x14ac:dyDescent="0.15">
      <c r="A1022" s="138"/>
      <c r="B1022" s="523" t="s">
        <v>844</v>
      </c>
      <c r="C1022" s="524" t="s">
        <v>153</v>
      </c>
      <c r="D1022" s="144">
        <v>0</v>
      </c>
      <c r="E1022" s="144">
        <v>0</v>
      </c>
      <c r="F1022" s="144">
        <v>0</v>
      </c>
      <c r="G1022" s="144">
        <v>0</v>
      </c>
      <c r="H1022" s="150">
        <v>0</v>
      </c>
      <c r="I1022" s="567">
        <f t="shared" si="27"/>
        <v>0</v>
      </c>
    </row>
    <row r="1023" spans="1:9" x14ac:dyDescent="0.15">
      <c r="A1023" s="138"/>
      <c r="B1023" s="523" t="s">
        <v>845</v>
      </c>
      <c r="C1023" s="524" t="s">
        <v>154</v>
      </c>
      <c r="D1023" s="144">
        <v>0</v>
      </c>
      <c r="E1023" s="144">
        <v>0</v>
      </c>
      <c r="F1023" s="144">
        <v>0</v>
      </c>
      <c r="G1023" s="144">
        <v>0</v>
      </c>
      <c r="H1023" s="150">
        <v>0</v>
      </c>
      <c r="I1023" s="567">
        <f t="shared" si="27"/>
        <v>0</v>
      </c>
    </row>
    <row r="1024" spans="1:9" x14ac:dyDescent="0.15">
      <c r="A1024" s="138"/>
      <c r="B1024" s="523" t="s">
        <v>846</v>
      </c>
      <c r="C1024" s="524" t="s">
        <v>155</v>
      </c>
      <c r="D1024" s="144">
        <v>0</v>
      </c>
      <c r="E1024" s="144">
        <v>0</v>
      </c>
      <c r="F1024" s="144">
        <v>0</v>
      </c>
      <c r="G1024" s="144">
        <v>0</v>
      </c>
      <c r="H1024" s="150">
        <v>0</v>
      </c>
      <c r="I1024" s="567">
        <f t="shared" si="27"/>
        <v>0</v>
      </c>
    </row>
    <row r="1025" spans="1:9" x14ac:dyDescent="0.15">
      <c r="A1025" s="138"/>
      <c r="B1025" s="523" t="s">
        <v>1582</v>
      </c>
      <c r="C1025" s="524" t="s">
        <v>156</v>
      </c>
      <c r="D1025" s="144">
        <v>0</v>
      </c>
      <c r="E1025" s="144">
        <v>0</v>
      </c>
      <c r="F1025" s="144">
        <v>0</v>
      </c>
      <c r="G1025" s="144">
        <v>0</v>
      </c>
      <c r="H1025" s="150">
        <v>0</v>
      </c>
      <c r="I1025" s="567">
        <f t="shared" si="27"/>
        <v>0</v>
      </c>
    </row>
    <row r="1026" spans="1:9" x14ac:dyDescent="0.15">
      <c r="A1026" s="138"/>
      <c r="B1026" s="523" t="s">
        <v>847</v>
      </c>
      <c r="C1026" s="524" t="s">
        <v>157</v>
      </c>
      <c r="D1026" s="144">
        <v>0</v>
      </c>
      <c r="E1026" s="144">
        <v>0</v>
      </c>
      <c r="F1026" s="144">
        <v>0</v>
      </c>
      <c r="G1026" s="144">
        <v>0</v>
      </c>
      <c r="H1026" s="150">
        <v>0</v>
      </c>
      <c r="I1026" s="567">
        <f t="shared" si="27"/>
        <v>0</v>
      </c>
    </row>
    <row r="1027" spans="1:9" x14ac:dyDescent="0.15">
      <c r="A1027" s="138"/>
      <c r="B1027" s="523" t="s">
        <v>1583</v>
      </c>
      <c r="C1027" s="524" t="s">
        <v>160</v>
      </c>
      <c r="D1027" s="144">
        <v>0</v>
      </c>
      <c r="E1027" s="144">
        <v>0</v>
      </c>
      <c r="F1027" s="144">
        <v>0</v>
      </c>
      <c r="G1027" s="144">
        <v>0</v>
      </c>
      <c r="H1027" s="150">
        <v>0</v>
      </c>
      <c r="I1027" s="567">
        <f t="shared" si="27"/>
        <v>0</v>
      </c>
    </row>
    <row r="1028" spans="1:9" x14ac:dyDescent="0.15">
      <c r="A1028" s="138"/>
      <c r="B1028" s="523" t="s">
        <v>634</v>
      </c>
      <c r="C1028" s="524" t="s">
        <v>165</v>
      </c>
      <c r="D1028" s="144">
        <v>0</v>
      </c>
      <c r="E1028" s="144">
        <v>0</v>
      </c>
      <c r="F1028" s="144">
        <v>0</v>
      </c>
      <c r="G1028" s="144">
        <v>0</v>
      </c>
      <c r="H1028" s="150">
        <v>0</v>
      </c>
      <c r="I1028" s="567">
        <f t="shared" si="27"/>
        <v>0</v>
      </c>
    </row>
    <row r="1029" spans="1:9" x14ac:dyDescent="0.15">
      <c r="A1029" s="138"/>
      <c r="B1029" s="523" t="s">
        <v>630</v>
      </c>
      <c r="C1029" s="524" t="s">
        <v>172</v>
      </c>
      <c r="D1029" s="144">
        <v>0</v>
      </c>
      <c r="E1029" s="144">
        <v>0</v>
      </c>
      <c r="F1029" s="144">
        <v>0</v>
      </c>
      <c r="G1029" s="144">
        <v>0</v>
      </c>
      <c r="H1029" s="150">
        <v>0</v>
      </c>
      <c r="I1029" s="567">
        <f t="shared" si="27"/>
        <v>0</v>
      </c>
    </row>
    <row r="1030" spans="1:9" x14ac:dyDescent="0.15">
      <c r="A1030" s="138"/>
      <c r="B1030" s="650" t="s">
        <v>631</v>
      </c>
      <c r="C1030" s="651" t="s">
        <v>173</v>
      </c>
      <c r="D1030" s="144">
        <v>0</v>
      </c>
      <c r="E1030" s="144">
        <v>0</v>
      </c>
      <c r="F1030" s="144">
        <v>0</v>
      </c>
      <c r="G1030" s="144">
        <v>0</v>
      </c>
      <c r="H1030" s="150">
        <v>0</v>
      </c>
      <c r="I1030" s="567">
        <f t="shared" si="27"/>
        <v>0</v>
      </c>
    </row>
    <row r="1031" spans="1:9" x14ac:dyDescent="0.15">
      <c r="A1031" s="138"/>
      <c r="B1031" s="523" t="s">
        <v>1584</v>
      </c>
      <c r="C1031" s="524" t="s">
        <v>178</v>
      </c>
      <c r="D1031" s="144">
        <v>0</v>
      </c>
      <c r="E1031" s="144">
        <v>0</v>
      </c>
      <c r="F1031" s="144">
        <v>0</v>
      </c>
      <c r="G1031" s="144">
        <v>0</v>
      </c>
      <c r="H1031" s="150">
        <v>0</v>
      </c>
      <c r="I1031" s="567">
        <f t="shared" si="27"/>
        <v>0</v>
      </c>
    </row>
    <row r="1032" spans="1:9" x14ac:dyDescent="0.15">
      <c r="A1032" s="138"/>
      <c r="B1032" s="523" t="s">
        <v>174</v>
      </c>
      <c r="C1032" s="524" t="s">
        <v>179</v>
      </c>
      <c r="D1032" s="144">
        <v>0</v>
      </c>
      <c r="E1032" s="144">
        <v>0</v>
      </c>
      <c r="F1032" s="144">
        <v>0</v>
      </c>
      <c r="G1032" s="144">
        <v>0</v>
      </c>
      <c r="H1032" s="150">
        <v>0</v>
      </c>
      <c r="I1032" s="567">
        <f t="shared" si="27"/>
        <v>0</v>
      </c>
    </row>
    <row r="1033" spans="1:9" x14ac:dyDescent="0.15">
      <c r="A1033" s="138"/>
      <c r="B1033" s="523" t="s">
        <v>175</v>
      </c>
      <c r="C1033" s="524" t="s">
        <v>180</v>
      </c>
      <c r="D1033" s="144">
        <v>0</v>
      </c>
      <c r="E1033" s="144">
        <v>0</v>
      </c>
      <c r="F1033" s="144">
        <v>0</v>
      </c>
      <c r="G1033" s="144">
        <v>0</v>
      </c>
      <c r="H1033" s="150">
        <v>0</v>
      </c>
      <c r="I1033" s="567">
        <f t="shared" si="27"/>
        <v>0</v>
      </c>
    </row>
    <row r="1034" spans="1:9" ht="11.25" thickBot="1" x14ac:dyDescent="0.2">
      <c r="A1034" s="138"/>
      <c r="B1034" s="523" t="s">
        <v>176</v>
      </c>
      <c r="C1034" s="524" t="s">
        <v>181</v>
      </c>
      <c r="D1034" s="144">
        <v>0</v>
      </c>
      <c r="E1034" s="144">
        <v>0</v>
      </c>
      <c r="F1034" s="144">
        <v>0</v>
      </c>
      <c r="G1034" s="144">
        <v>0</v>
      </c>
      <c r="H1034" s="150">
        <v>0</v>
      </c>
      <c r="I1034" s="567">
        <f t="shared" si="27"/>
        <v>0</v>
      </c>
    </row>
    <row r="1035" spans="1:9" ht="12" thickTop="1" thickBot="1" x14ac:dyDescent="0.2">
      <c r="A1035" s="138"/>
      <c r="B1035" s="523"/>
      <c r="C1035" s="524" t="s">
        <v>388</v>
      </c>
      <c r="D1035" s="169">
        <f>SUM(D1001:D1034)</f>
        <v>0</v>
      </c>
      <c r="E1035" s="169">
        <f>SUM(E1001:E1034)</f>
        <v>0</v>
      </c>
      <c r="F1035" s="169">
        <f>SUM(F1001:F1034)</f>
        <v>0</v>
      </c>
      <c r="G1035" s="169">
        <f>SUM(G1001:G1034)</f>
        <v>0</v>
      </c>
      <c r="H1035" s="169">
        <f>SUM(H1001:H1034)</f>
        <v>0</v>
      </c>
      <c r="I1035" s="169">
        <f t="shared" si="27"/>
        <v>0</v>
      </c>
    </row>
    <row r="1036" spans="1:9" ht="11.25" thickTop="1" x14ac:dyDescent="0.15">
      <c r="A1036" s="138"/>
      <c r="B1036" s="524"/>
      <c r="C1036" s="524"/>
      <c r="D1036" s="14"/>
      <c r="E1036" s="14"/>
      <c r="F1036" s="14"/>
      <c r="G1036" s="14"/>
      <c r="H1036" s="14"/>
      <c r="I1036" s="563"/>
    </row>
    <row r="1037" spans="1:9" x14ac:dyDescent="0.15">
      <c r="A1037" s="522" t="s">
        <v>1145</v>
      </c>
      <c r="B1037" s="524"/>
      <c r="C1037" s="524"/>
      <c r="D1037" s="14"/>
      <c r="E1037" s="14"/>
      <c r="F1037" s="14"/>
      <c r="G1037" s="14"/>
      <c r="H1037" s="14"/>
      <c r="I1037" s="563"/>
    </row>
    <row r="1038" spans="1:9" x14ac:dyDescent="0.15">
      <c r="A1038" s="434"/>
      <c r="B1038" s="523" t="s">
        <v>1577</v>
      </c>
      <c r="C1038" s="524" t="s">
        <v>228</v>
      </c>
      <c r="D1038" s="316">
        <v>0</v>
      </c>
      <c r="E1038" s="316">
        <v>0</v>
      </c>
      <c r="F1038" s="316">
        <v>0</v>
      </c>
      <c r="G1038" s="528">
        <f t="array" ref="G1038">SUM(IF(CertFund&amp;CertProg&amp;CertObj=RIGHT(LEFT($A$2,7),2)&amp;LEFT(A1037,4)&amp;B1038,CertSalary))</f>
        <v>0</v>
      </c>
      <c r="H1038" s="527">
        <v>0</v>
      </c>
      <c r="I1038" s="566">
        <f>SUM(G1038+H1038)</f>
        <v>0</v>
      </c>
    </row>
    <row r="1039" spans="1:9" x14ac:dyDescent="0.15">
      <c r="A1039" s="434"/>
      <c r="B1039" s="523" t="s">
        <v>1577</v>
      </c>
      <c r="C1039" s="524" t="s">
        <v>510</v>
      </c>
      <c r="D1039" s="316">
        <v>0</v>
      </c>
      <c r="E1039" s="316">
        <v>0</v>
      </c>
      <c r="F1039" s="316">
        <v>0</v>
      </c>
      <c r="G1039" s="316">
        <v>0</v>
      </c>
      <c r="H1039" s="527">
        <v>0</v>
      </c>
      <c r="I1039" s="566">
        <f>SUM(G1039+H1039)</f>
        <v>0</v>
      </c>
    </row>
    <row r="1040" spans="1:9" x14ac:dyDescent="0.15">
      <c r="A1040" s="524"/>
      <c r="B1040" s="523" t="s">
        <v>1578</v>
      </c>
      <c r="C1040" s="524" t="s">
        <v>936</v>
      </c>
      <c r="D1040" s="316">
        <v>0</v>
      </c>
      <c r="E1040" s="316">
        <v>0</v>
      </c>
      <c r="F1040" s="316">
        <v>0</v>
      </c>
      <c r="G1040" s="529">
        <f t="array" ref="G1040">SUM(IF(CertFund&amp;CertProg&amp;CertObj=RIGHT(LEFT($A$2,7),2)&amp;LEFT(A1037,4)&amp;B1038,CertBen))</f>
        <v>0</v>
      </c>
      <c r="H1040" s="527">
        <v>0</v>
      </c>
      <c r="I1040" s="566">
        <f>SUM(G1040+H1040)</f>
        <v>0</v>
      </c>
    </row>
    <row r="1041" spans="1:9" x14ac:dyDescent="0.15">
      <c r="A1041" s="138"/>
      <c r="B1041" s="521" t="s">
        <v>1578</v>
      </c>
      <c r="C1041" s="138" t="s">
        <v>511</v>
      </c>
      <c r="D1041" s="147">
        <v>0</v>
      </c>
      <c r="E1041" s="147">
        <v>0</v>
      </c>
      <c r="F1041" s="147">
        <v>0</v>
      </c>
      <c r="G1041" s="147">
        <v>0</v>
      </c>
      <c r="H1041" s="150">
        <v>0</v>
      </c>
      <c r="I1041" s="567">
        <f>SUM(G1041+H1041)</f>
        <v>0</v>
      </c>
    </row>
    <row r="1042" spans="1:9" x14ac:dyDescent="0.15">
      <c r="A1042" s="138"/>
      <c r="B1042" s="523" t="s">
        <v>1579</v>
      </c>
      <c r="C1042" s="524" t="s">
        <v>118</v>
      </c>
      <c r="D1042" s="144">
        <v>0</v>
      </c>
      <c r="E1042" s="144">
        <v>0</v>
      </c>
      <c r="F1042" s="144">
        <v>0</v>
      </c>
      <c r="G1042" s="144">
        <v>0</v>
      </c>
      <c r="H1042" s="150">
        <v>0</v>
      </c>
      <c r="I1042" s="567">
        <f t="shared" ref="I1042:I1072" si="28">SUM(G1042+H1042)</f>
        <v>0</v>
      </c>
    </row>
    <row r="1043" spans="1:9" x14ac:dyDescent="0.15">
      <c r="A1043" s="138"/>
      <c r="B1043" s="523" t="s">
        <v>1580</v>
      </c>
      <c r="C1043" s="524" t="s">
        <v>119</v>
      </c>
      <c r="D1043" s="144">
        <v>0</v>
      </c>
      <c r="E1043" s="144">
        <v>0</v>
      </c>
      <c r="F1043" s="144">
        <v>0</v>
      </c>
      <c r="G1043" s="144">
        <v>0</v>
      </c>
      <c r="H1043" s="150">
        <v>0</v>
      </c>
      <c r="I1043" s="567">
        <f t="shared" si="28"/>
        <v>0</v>
      </c>
    </row>
    <row r="1044" spans="1:9" x14ac:dyDescent="0.15">
      <c r="A1044" s="138"/>
      <c r="B1044" s="523" t="s">
        <v>120</v>
      </c>
      <c r="C1044" s="524" t="s">
        <v>121</v>
      </c>
      <c r="D1044" s="144">
        <v>0</v>
      </c>
      <c r="E1044" s="144">
        <v>0</v>
      </c>
      <c r="F1044" s="144">
        <v>0</v>
      </c>
      <c r="G1044" s="144">
        <v>0</v>
      </c>
      <c r="H1044" s="150">
        <v>0</v>
      </c>
      <c r="I1044" s="567">
        <f t="shared" si="28"/>
        <v>0</v>
      </c>
    </row>
    <row r="1045" spans="1:9" x14ac:dyDescent="0.15">
      <c r="A1045" s="138"/>
      <c r="B1045" s="523" t="s">
        <v>122</v>
      </c>
      <c r="C1045" s="524" t="s">
        <v>123</v>
      </c>
      <c r="D1045" s="144">
        <v>0</v>
      </c>
      <c r="E1045" s="144">
        <v>0</v>
      </c>
      <c r="F1045" s="144">
        <v>0</v>
      </c>
      <c r="G1045" s="144">
        <v>0</v>
      </c>
      <c r="H1045" s="150">
        <v>0</v>
      </c>
      <c r="I1045" s="567">
        <f t="shared" si="28"/>
        <v>0</v>
      </c>
    </row>
    <row r="1046" spans="1:9" x14ac:dyDescent="0.15">
      <c r="A1046" s="138"/>
      <c r="B1046" s="523" t="s">
        <v>1581</v>
      </c>
      <c r="C1046" s="524" t="s">
        <v>124</v>
      </c>
      <c r="D1046" s="144">
        <v>0</v>
      </c>
      <c r="E1046" s="144">
        <v>0</v>
      </c>
      <c r="F1046" s="144">
        <v>0</v>
      </c>
      <c r="G1046" s="144">
        <v>0</v>
      </c>
      <c r="H1046" s="150">
        <v>0</v>
      </c>
      <c r="I1046" s="567">
        <f t="shared" si="28"/>
        <v>0</v>
      </c>
    </row>
    <row r="1047" spans="1:9" x14ac:dyDescent="0.15">
      <c r="A1047" s="138"/>
      <c r="B1047" s="523" t="s">
        <v>127</v>
      </c>
      <c r="C1047" s="524" t="s">
        <v>134</v>
      </c>
      <c r="D1047" s="144">
        <v>0</v>
      </c>
      <c r="E1047" s="144">
        <v>0</v>
      </c>
      <c r="F1047" s="144">
        <v>0</v>
      </c>
      <c r="G1047" s="144">
        <v>0</v>
      </c>
      <c r="H1047" s="150">
        <v>0</v>
      </c>
      <c r="I1047" s="567">
        <f t="shared" si="28"/>
        <v>0</v>
      </c>
    </row>
    <row r="1048" spans="1:9" x14ac:dyDescent="0.15">
      <c r="A1048" s="138"/>
      <c r="B1048" s="523" t="s">
        <v>128</v>
      </c>
      <c r="C1048" s="524" t="s">
        <v>135</v>
      </c>
      <c r="D1048" s="144">
        <v>0</v>
      </c>
      <c r="E1048" s="144">
        <v>0</v>
      </c>
      <c r="F1048" s="144">
        <v>0</v>
      </c>
      <c r="G1048" s="144">
        <v>0</v>
      </c>
      <c r="H1048" s="150">
        <v>0</v>
      </c>
      <c r="I1048" s="567">
        <f t="shared" si="28"/>
        <v>0</v>
      </c>
    </row>
    <row r="1049" spans="1:9" x14ac:dyDescent="0.15">
      <c r="A1049" s="138"/>
      <c r="B1049" s="523" t="s">
        <v>132</v>
      </c>
      <c r="C1049" s="524" t="s">
        <v>1617</v>
      </c>
      <c r="D1049" s="144">
        <v>0</v>
      </c>
      <c r="E1049" s="144">
        <v>0</v>
      </c>
      <c r="F1049" s="144">
        <v>0</v>
      </c>
      <c r="G1049" s="144">
        <v>0</v>
      </c>
      <c r="H1049" s="150">
        <v>0</v>
      </c>
      <c r="I1049" s="567">
        <f t="shared" si="28"/>
        <v>0</v>
      </c>
    </row>
    <row r="1050" spans="1:9" x14ac:dyDescent="0.15">
      <c r="A1050" s="138"/>
      <c r="B1050" s="523" t="s">
        <v>1618</v>
      </c>
      <c r="C1050" s="524" t="s">
        <v>836</v>
      </c>
      <c r="D1050" s="144">
        <v>0</v>
      </c>
      <c r="E1050" s="144">
        <v>0</v>
      </c>
      <c r="F1050" s="144">
        <v>0</v>
      </c>
      <c r="G1050" s="144">
        <v>0</v>
      </c>
      <c r="H1050" s="150">
        <v>0</v>
      </c>
      <c r="I1050" s="567">
        <f t="shared" si="28"/>
        <v>0</v>
      </c>
    </row>
    <row r="1051" spans="1:9" x14ac:dyDescent="0.15">
      <c r="A1051" s="138"/>
      <c r="B1051" s="523" t="s">
        <v>1619</v>
      </c>
      <c r="C1051" s="524" t="s">
        <v>837</v>
      </c>
      <c r="D1051" s="144">
        <v>0</v>
      </c>
      <c r="E1051" s="144">
        <v>0</v>
      </c>
      <c r="F1051" s="144">
        <v>0</v>
      </c>
      <c r="G1051" s="144">
        <v>0</v>
      </c>
      <c r="H1051" s="150">
        <v>0</v>
      </c>
      <c r="I1051" s="567">
        <f t="shared" si="28"/>
        <v>0</v>
      </c>
    </row>
    <row r="1052" spans="1:9" x14ac:dyDescent="0.15">
      <c r="A1052" s="138"/>
      <c r="B1052" s="523" t="s">
        <v>1620</v>
      </c>
      <c r="C1052" s="524" t="s">
        <v>838</v>
      </c>
      <c r="D1052" s="144">
        <v>0</v>
      </c>
      <c r="E1052" s="144">
        <v>0</v>
      </c>
      <c r="F1052" s="144">
        <v>0</v>
      </c>
      <c r="G1052" s="144">
        <v>0</v>
      </c>
      <c r="H1052" s="150">
        <v>0</v>
      </c>
      <c r="I1052" s="567">
        <f t="shared" si="28"/>
        <v>0</v>
      </c>
    </row>
    <row r="1053" spans="1:9" x14ac:dyDescent="0.15">
      <c r="A1053" s="138"/>
      <c r="B1053" s="523" t="s">
        <v>1621</v>
      </c>
      <c r="C1053" s="524" t="s">
        <v>839</v>
      </c>
      <c r="D1053" s="144">
        <v>0</v>
      </c>
      <c r="E1053" s="144">
        <v>0</v>
      </c>
      <c r="F1053" s="144">
        <v>0</v>
      </c>
      <c r="G1053" s="144">
        <v>0</v>
      </c>
      <c r="H1053" s="150">
        <v>0</v>
      </c>
      <c r="I1053" s="567">
        <f t="shared" si="28"/>
        <v>0</v>
      </c>
    </row>
    <row r="1054" spans="1:9" x14ac:dyDescent="0.15">
      <c r="A1054" s="138"/>
      <c r="B1054" s="523" t="s">
        <v>1622</v>
      </c>
      <c r="C1054" s="524" t="s">
        <v>190</v>
      </c>
      <c r="D1054" s="144">
        <v>0</v>
      </c>
      <c r="E1054" s="144">
        <v>0</v>
      </c>
      <c r="F1054" s="144">
        <v>0</v>
      </c>
      <c r="G1054" s="144">
        <v>0</v>
      </c>
      <c r="H1054" s="150">
        <v>0</v>
      </c>
      <c r="I1054" s="567">
        <f t="shared" si="28"/>
        <v>0</v>
      </c>
    </row>
    <row r="1055" spans="1:9" x14ac:dyDescent="0.15">
      <c r="A1055" s="138"/>
      <c r="B1055" s="523" t="s">
        <v>1623</v>
      </c>
      <c r="C1055" s="524" t="s">
        <v>191</v>
      </c>
      <c r="D1055" s="144">
        <v>0</v>
      </c>
      <c r="E1055" s="144">
        <v>0</v>
      </c>
      <c r="F1055" s="144">
        <v>0</v>
      </c>
      <c r="G1055" s="144">
        <v>0</v>
      </c>
      <c r="H1055" s="150">
        <v>0</v>
      </c>
      <c r="I1055" s="567">
        <f t="shared" si="28"/>
        <v>0</v>
      </c>
    </row>
    <row r="1056" spans="1:9" x14ac:dyDescent="0.15">
      <c r="A1056" s="138"/>
      <c r="B1056" s="523" t="s">
        <v>1624</v>
      </c>
      <c r="C1056" s="524" t="s">
        <v>840</v>
      </c>
      <c r="D1056" s="144">
        <v>0</v>
      </c>
      <c r="E1056" s="144">
        <v>0</v>
      </c>
      <c r="F1056" s="144">
        <v>0</v>
      </c>
      <c r="G1056" s="144">
        <v>0</v>
      </c>
      <c r="H1056" s="150">
        <v>0</v>
      </c>
      <c r="I1056" s="567">
        <f t="shared" si="28"/>
        <v>0</v>
      </c>
    </row>
    <row r="1057" spans="1:9" x14ac:dyDescent="0.15">
      <c r="A1057" s="138"/>
      <c r="B1057" s="523" t="s">
        <v>1625</v>
      </c>
      <c r="C1057" s="524" t="s">
        <v>842</v>
      </c>
      <c r="D1057" s="144">
        <v>0</v>
      </c>
      <c r="E1057" s="144">
        <v>0</v>
      </c>
      <c r="F1057" s="144">
        <v>0</v>
      </c>
      <c r="G1057" s="144">
        <v>0</v>
      </c>
      <c r="H1057" s="150">
        <v>0</v>
      </c>
      <c r="I1057" s="567">
        <f t="shared" si="28"/>
        <v>0</v>
      </c>
    </row>
    <row r="1058" spans="1:9" x14ac:dyDescent="0.15">
      <c r="A1058" s="138"/>
      <c r="B1058" s="523" t="s">
        <v>843</v>
      </c>
      <c r="C1058" s="524" t="s">
        <v>848</v>
      </c>
      <c r="D1058" s="144">
        <v>0</v>
      </c>
      <c r="E1058" s="144">
        <v>0</v>
      </c>
      <c r="F1058" s="144">
        <v>0</v>
      </c>
      <c r="G1058" s="144">
        <v>0</v>
      </c>
      <c r="H1058" s="150">
        <v>0</v>
      </c>
      <c r="I1058" s="567">
        <f t="shared" si="28"/>
        <v>0</v>
      </c>
    </row>
    <row r="1059" spans="1:9" x14ac:dyDescent="0.15">
      <c r="A1059" s="138"/>
      <c r="B1059" s="523" t="s">
        <v>844</v>
      </c>
      <c r="C1059" s="524" t="s">
        <v>153</v>
      </c>
      <c r="D1059" s="144">
        <v>0</v>
      </c>
      <c r="E1059" s="144">
        <v>0</v>
      </c>
      <c r="F1059" s="144">
        <v>0</v>
      </c>
      <c r="G1059" s="144">
        <v>0</v>
      </c>
      <c r="H1059" s="150">
        <v>0</v>
      </c>
      <c r="I1059" s="567">
        <f t="shared" si="28"/>
        <v>0</v>
      </c>
    </row>
    <row r="1060" spans="1:9" x14ac:dyDescent="0.15">
      <c r="A1060" s="138"/>
      <c r="B1060" s="523" t="s">
        <v>845</v>
      </c>
      <c r="C1060" s="524" t="s">
        <v>154</v>
      </c>
      <c r="D1060" s="144">
        <v>0</v>
      </c>
      <c r="E1060" s="144">
        <v>0</v>
      </c>
      <c r="F1060" s="144">
        <v>0</v>
      </c>
      <c r="G1060" s="144">
        <v>0</v>
      </c>
      <c r="H1060" s="150">
        <v>0</v>
      </c>
      <c r="I1060" s="567">
        <f t="shared" si="28"/>
        <v>0</v>
      </c>
    </row>
    <row r="1061" spans="1:9" x14ac:dyDescent="0.15">
      <c r="A1061" s="138"/>
      <c r="B1061" s="523" t="s">
        <v>846</v>
      </c>
      <c r="C1061" s="524" t="s">
        <v>155</v>
      </c>
      <c r="D1061" s="144">
        <v>0</v>
      </c>
      <c r="E1061" s="144">
        <v>0</v>
      </c>
      <c r="F1061" s="144">
        <v>0</v>
      </c>
      <c r="G1061" s="144">
        <v>0</v>
      </c>
      <c r="H1061" s="150">
        <v>0</v>
      </c>
      <c r="I1061" s="567">
        <f t="shared" si="28"/>
        <v>0</v>
      </c>
    </row>
    <row r="1062" spans="1:9" x14ac:dyDescent="0.15">
      <c r="A1062" s="138"/>
      <c r="B1062" s="523" t="s">
        <v>1582</v>
      </c>
      <c r="C1062" s="524" t="s">
        <v>156</v>
      </c>
      <c r="D1062" s="144">
        <v>0</v>
      </c>
      <c r="E1062" s="144">
        <v>0</v>
      </c>
      <c r="F1062" s="144">
        <v>0</v>
      </c>
      <c r="G1062" s="144">
        <v>0</v>
      </c>
      <c r="H1062" s="150">
        <v>0</v>
      </c>
      <c r="I1062" s="567">
        <f t="shared" si="28"/>
        <v>0</v>
      </c>
    </row>
    <row r="1063" spans="1:9" x14ac:dyDescent="0.15">
      <c r="A1063" s="138"/>
      <c r="B1063" s="523" t="s">
        <v>847</v>
      </c>
      <c r="C1063" s="524" t="s">
        <v>157</v>
      </c>
      <c r="D1063" s="144">
        <v>0</v>
      </c>
      <c r="E1063" s="144">
        <v>0</v>
      </c>
      <c r="F1063" s="144">
        <v>0</v>
      </c>
      <c r="G1063" s="144">
        <v>0</v>
      </c>
      <c r="H1063" s="150">
        <v>0</v>
      </c>
      <c r="I1063" s="567">
        <f t="shared" si="28"/>
        <v>0</v>
      </c>
    </row>
    <row r="1064" spans="1:9" x14ac:dyDescent="0.15">
      <c r="A1064" s="138"/>
      <c r="B1064" s="523" t="s">
        <v>1583</v>
      </c>
      <c r="C1064" s="524" t="s">
        <v>160</v>
      </c>
      <c r="D1064" s="144">
        <v>0</v>
      </c>
      <c r="E1064" s="144">
        <v>0</v>
      </c>
      <c r="F1064" s="144">
        <v>0</v>
      </c>
      <c r="G1064" s="144">
        <v>0</v>
      </c>
      <c r="H1064" s="150">
        <v>0</v>
      </c>
      <c r="I1064" s="567">
        <f t="shared" si="28"/>
        <v>0</v>
      </c>
    </row>
    <row r="1065" spans="1:9" x14ac:dyDescent="0.15">
      <c r="A1065" s="138"/>
      <c r="B1065" s="523" t="s">
        <v>634</v>
      </c>
      <c r="C1065" s="524" t="s">
        <v>165</v>
      </c>
      <c r="D1065" s="144">
        <v>0</v>
      </c>
      <c r="E1065" s="144">
        <v>0</v>
      </c>
      <c r="F1065" s="144">
        <v>0</v>
      </c>
      <c r="G1065" s="144">
        <v>0</v>
      </c>
      <c r="H1065" s="150">
        <v>0</v>
      </c>
      <c r="I1065" s="567">
        <f t="shared" si="28"/>
        <v>0</v>
      </c>
    </row>
    <row r="1066" spans="1:9" x14ac:dyDescent="0.15">
      <c r="A1066" s="138"/>
      <c r="B1066" s="523" t="s">
        <v>630</v>
      </c>
      <c r="C1066" s="524" t="s">
        <v>172</v>
      </c>
      <c r="D1066" s="144">
        <v>0</v>
      </c>
      <c r="E1066" s="144">
        <v>0</v>
      </c>
      <c r="F1066" s="144">
        <v>0</v>
      </c>
      <c r="G1066" s="144">
        <v>0</v>
      </c>
      <c r="H1066" s="150">
        <v>0</v>
      </c>
      <c r="I1066" s="567">
        <f t="shared" si="28"/>
        <v>0</v>
      </c>
    </row>
    <row r="1067" spans="1:9" x14ac:dyDescent="0.15">
      <c r="A1067" s="138"/>
      <c r="B1067" s="650" t="s">
        <v>631</v>
      </c>
      <c r="C1067" s="651" t="s">
        <v>173</v>
      </c>
      <c r="D1067" s="144">
        <v>0</v>
      </c>
      <c r="E1067" s="144">
        <v>0</v>
      </c>
      <c r="F1067" s="144">
        <v>0</v>
      </c>
      <c r="G1067" s="144">
        <v>0</v>
      </c>
      <c r="H1067" s="150">
        <v>0</v>
      </c>
      <c r="I1067" s="567">
        <f t="shared" si="28"/>
        <v>0</v>
      </c>
    </row>
    <row r="1068" spans="1:9" x14ac:dyDescent="0.15">
      <c r="A1068" s="138"/>
      <c r="B1068" s="523" t="s">
        <v>1584</v>
      </c>
      <c r="C1068" s="524" t="s">
        <v>178</v>
      </c>
      <c r="D1068" s="144">
        <v>0</v>
      </c>
      <c r="E1068" s="144">
        <v>0</v>
      </c>
      <c r="F1068" s="144">
        <v>0</v>
      </c>
      <c r="G1068" s="144">
        <v>0</v>
      </c>
      <c r="H1068" s="150">
        <v>0</v>
      </c>
      <c r="I1068" s="567">
        <f t="shared" si="28"/>
        <v>0</v>
      </c>
    </row>
    <row r="1069" spans="1:9" x14ac:dyDescent="0.15">
      <c r="A1069" s="138"/>
      <c r="B1069" s="523" t="s">
        <v>174</v>
      </c>
      <c r="C1069" s="524" t="s">
        <v>179</v>
      </c>
      <c r="D1069" s="144">
        <v>0</v>
      </c>
      <c r="E1069" s="144">
        <v>0</v>
      </c>
      <c r="F1069" s="144">
        <v>0</v>
      </c>
      <c r="G1069" s="144">
        <v>0</v>
      </c>
      <c r="H1069" s="150">
        <v>0</v>
      </c>
      <c r="I1069" s="567">
        <f t="shared" si="28"/>
        <v>0</v>
      </c>
    </row>
    <row r="1070" spans="1:9" x14ac:dyDescent="0.15">
      <c r="A1070" s="138"/>
      <c r="B1070" s="523" t="s">
        <v>175</v>
      </c>
      <c r="C1070" s="524" t="s">
        <v>180</v>
      </c>
      <c r="D1070" s="144">
        <v>0</v>
      </c>
      <c r="E1070" s="144">
        <v>0</v>
      </c>
      <c r="F1070" s="144">
        <v>0</v>
      </c>
      <c r="G1070" s="144">
        <v>0</v>
      </c>
      <c r="H1070" s="150">
        <v>0</v>
      </c>
      <c r="I1070" s="567">
        <f t="shared" si="28"/>
        <v>0</v>
      </c>
    </row>
    <row r="1071" spans="1:9" ht="11.25" thickBot="1" x14ac:dyDescent="0.2">
      <c r="A1071" s="138"/>
      <c r="B1071" s="523" t="s">
        <v>176</v>
      </c>
      <c r="C1071" s="524" t="s">
        <v>181</v>
      </c>
      <c r="D1071" s="144">
        <v>0</v>
      </c>
      <c r="E1071" s="144">
        <v>0</v>
      </c>
      <c r="F1071" s="144">
        <v>0</v>
      </c>
      <c r="G1071" s="144">
        <v>0</v>
      </c>
      <c r="H1071" s="150">
        <v>0</v>
      </c>
      <c r="I1071" s="567">
        <f t="shared" si="28"/>
        <v>0</v>
      </c>
    </row>
    <row r="1072" spans="1:9" ht="12" thickTop="1" thickBot="1" x14ac:dyDescent="0.2">
      <c r="A1072" s="138"/>
      <c r="B1072" s="523"/>
      <c r="C1072" s="524" t="s">
        <v>388</v>
      </c>
      <c r="D1072" s="169">
        <f>SUM(D1038:D1071)</f>
        <v>0</v>
      </c>
      <c r="E1072" s="169">
        <f>SUM(E1038:E1071)</f>
        <v>0</v>
      </c>
      <c r="F1072" s="169">
        <f>SUM(F1038:F1071)</f>
        <v>0</v>
      </c>
      <c r="G1072" s="169">
        <f>SUM(G1038:G1071)</f>
        <v>0</v>
      </c>
      <c r="H1072" s="169">
        <f>SUM(H1038:H1071)</f>
        <v>0</v>
      </c>
      <c r="I1072" s="169">
        <f t="shared" si="28"/>
        <v>0</v>
      </c>
    </row>
    <row r="1073" spans="1:9" ht="12" thickTop="1" thickBot="1" x14ac:dyDescent="0.2">
      <c r="A1073" s="138"/>
      <c r="B1073" s="524"/>
      <c r="C1073" s="524"/>
      <c r="D1073" s="14"/>
      <c r="E1073" s="14"/>
      <c r="F1073" s="14"/>
      <c r="G1073" s="14"/>
      <c r="H1073" s="14"/>
      <c r="I1073" s="563"/>
    </row>
    <row r="1074" spans="1:9" ht="12" thickTop="1" thickBot="1" x14ac:dyDescent="0.2">
      <c r="B1074" s="524" t="s">
        <v>1500</v>
      </c>
      <c r="C1074" s="434"/>
      <c r="D1074" s="169">
        <f>D44+D80+D116+D152+D188+D223+D259+D295+D331+D367+D405+D442+D479+D516+D553+D590+D627+D665+D702+D739+D776+D813+D850+D887+D924+D961+D998+D1035+D1072</f>
        <v>0</v>
      </c>
      <c r="E1074" s="169">
        <f>E44+E80+E116+E152+E188+E223+E259+E295+E331+E367+E405+E442+E479+E516+E553+E590+E627+E665+E702+E739+E776+E813+E850+E887+E924+E961+E998+E1035+E1072</f>
        <v>0</v>
      </c>
      <c r="F1074" s="169">
        <f>F44+F80+F116+F152+F188+F223+F259+F295+F331+F367+F405+F442+F479+F516+F553+F590+F627+F665+F702+F739+F776+F813+F850+F887+F924+F961+F998+F1035+F1072</f>
        <v>0</v>
      </c>
      <c r="G1074" s="169">
        <f>G44+G80+G116+G152+G188+G223+G259+G295+G331+G367+G405+G442+G479+G516+G553+G590+G627+G665+G702+G739+G776+G813+G850+G887+G924+G961+G998+G1035+G1072</f>
        <v>0</v>
      </c>
      <c r="H1074" s="169">
        <f>H44+H80+H116+H152+H188+H223+H259+H295+H331+H367+H405+H442+H479+H516+H553+H590+H627+H665+H702+H739+H776+H813+H850+H887+H924+H961+H998+H1035+H1072</f>
        <v>0</v>
      </c>
      <c r="I1074" s="169">
        <f>SUM(G1074+H1074)</f>
        <v>0</v>
      </c>
    </row>
    <row r="1075" spans="1:9" ht="11.25" thickTop="1" x14ac:dyDescent="0.15">
      <c r="B1075" s="434"/>
      <c r="C1075" s="524"/>
      <c r="I1075" s="167"/>
    </row>
    <row r="1076" spans="1:9" x14ac:dyDescent="0.15">
      <c r="A1076" s="167"/>
      <c r="B1076" s="385"/>
      <c r="C1076" s="385"/>
      <c r="D1076" s="498"/>
      <c r="E1076" s="498"/>
      <c r="F1076" s="498"/>
      <c r="G1076" s="498"/>
      <c r="I1076" s="167"/>
    </row>
    <row r="1077" spans="1:9" x14ac:dyDescent="0.15">
      <c r="A1077" s="167" t="s">
        <v>407</v>
      </c>
      <c r="B1077" s="385"/>
      <c r="C1077" s="385"/>
      <c r="D1077" s="498"/>
      <c r="E1077" s="498"/>
      <c r="F1077" s="498"/>
      <c r="G1077" s="498"/>
    </row>
    <row r="1078" spans="1:9" x14ac:dyDescent="0.15">
      <c r="A1078" s="167"/>
      <c r="B1078" s="385"/>
      <c r="C1078" s="385"/>
      <c r="D1078" s="498"/>
      <c r="E1078" s="498"/>
      <c r="F1078" s="498"/>
      <c r="G1078" s="498"/>
    </row>
    <row r="1079" spans="1:9" ht="18.75" x14ac:dyDescent="0.3">
      <c r="A1079" s="152" t="s">
        <v>1577</v>
      </c>
      <c r="B1079" s="611">
        <f>SUM(I11+I12+I47+I48+I83+I84+I119+I120+I155+I156+I191+I192+I226+I227+I262+I263+I298+I299+I334+I335+I371+I372+I408+I409+I445+I446+I482+I483+I519+I520+I556+I557+I593+I594+I630+I631+I668+I669+I705+I706+I742+I743+I779+I780+I816+I817+I853+I854+I890+I891+I927+I928+I964+I965+I1001+I1002+I1038+I1039)</f>
        <v>0</v>
      </c>
      <c r="C1079" s="385"/>
      <c r="D1079" s="498"/>
      <c r="E1079" s="498"/>
      <c r="F1079" s="498"/>
      <c r="G1079" s="498"/>
    </row>
    <row r="1080" spans="1:9" ht="18.75" x14ac:dyDescent="0.3">
      <c r="A1080" s="152" t="s">
        <v>1578</v>
      </c>
      <c r="B1080" s="611">
        <f>SUM(I14+I13+I50+I49+I86+I85+I122+I121+I158+I157+I194+I193+I229+I228+I265+I264+I301+I300+I337+I336+I374+I373+I411+I410+I448+I447+I485+I484+I522+I521+I559+I558+I596+I595+I633+I632+I671+I670+I708+I707+I745+I744+I782+I781+I819+I818+I856+I855+I893+I892+I930+I929+I967+I966+I1004+I1003+I1041+I1040)</f>
        <v>0</v>
      </c>
      <c r="C1080" s="612"/>
      <c r="D1080" s="525"/>
      <c r="E1080" s="525"/>
      <c r="F1080" s="525"/>
      <c r="G1080" s="498"/>
    </row>
    <row r="1081" spans="1:9" ht="18.75" x14ac:dyDescent="0.3">
      <c r="A1081" s="152" t="s">
        <v>1579</v>
      </c>
      <c r="B1081" s="611">
        <f>SUM(GenFundExp!I15+GenFundExp!I51+GenFundExp!I87+GenFundExp!I123+GenFundExp!I159+GenFundExp!I195+GenFundExp!I230+GenFundExp!I266+GenFundExp!I302+GenFundExp!I338+GenFundExp!I375+GenFundExp!I412+GenFundExp!I449+GenFundExp!I486+GenFundExp!I523+GenFundExp!I560+GenFundExp!I597+GenFundExp!I634+GenFundExp!I672+GenFundExp!I709+GenFundExp!I746+GenFundExp!I783+GenFundExp!I820+GenFundExp!I857+GenFundExp!I894+GenFundExp!I931+GenFundExp!I968+GenFundExp!I1005+GenFundExp!I1042)</f>
        <v>0</v>
      </c>
      <c r="C1081" s="385"/>
    </row>
    <row r="1082" spans="1:9" ht="18.75" x14ac:dyDescent="0.3">
      <c r="A1082" s="152" t="s">
        <v>1580</v>
      </c>
      <c r="B1082" s="611">
        <f>SUM(GenFundExp!I16+GenFundExp!I52+GenFundExp!I88+GenFundExp!I124+GenFundExp!I160+GenFundExp!I196+GenFundExp!I231+GenFundExp!I267+GenFundExp!I303+GenFundExp!I339+GenFundExp!I376+GenFundExp!I413+GenFundExp!I450+GenFundExp!I487+GenFundExp!I524+GenFundExp!I561+GenFundExp!I598+GenFundExp!I635+GenFundExp!I673+GenFundExp!I710+GenFundExp!I747+GenFundExp!I784+GenFundExp!I821+GenFundExp!I858+GenFundExp!I895+GenFundExp!I932+GenFundExp!I969+GenFundExp!I1006+GenFundExp!I1043)</f>
        <v>0</v>
      </c>
      <c r="C1082" s="385"/>
    </row>
    <row r="1083" spans="1:9" ht="18.75" x14ac:dyDescent="0.3">
      <c r="A1083" s="152" t="s">
        <v>120</v>
      </c>
      <c r="B1083" s="611">
        <f>SUM(GenFundExp!I17+GenFundExp!I53+GenFundExp!I89+GenFundExp!I125+GenFundExp!I161+GenFundExp!I197+GenFundExp!I232+GenFundExp!I268+GenFundExp!I304+GenFundExp!I340+GenFundExp!I377+GenFundExp!I414+GenFundExp!I451+GenFundExp!I488+GenFundExp!I525+GenFundExp!I562+GenFundExp!I599+GenFundExp!I636+GenFundExp!I674+GenFundExp!I711+GenFundExp!I748+GenFundExp!I785+GenFundExp!I822+GenFundExp!I859+GenFundExp!I896+GenFundExp!I933+GenFundExp!I970+GenFundExp!I1007+GenFundExp!I1044)</f>
        <v>0</v>
      </c>
      <c r="C1083" s="385"/>
    </row>
    <row r="1084" spans="1:9" ht="18.75" x14ac:dyDescent="0.3">
      <c r="A1084" s="152" t="s">
        <v>122</v>
      </c>
      <c r="B1084" s="611">
        <f>SUM(GenFundExp!I18+GenFundExp!I54+GenFundExp!I90+GenFundExp!I126+GenFundExp!I162+GenFundExp!I198+GenFundExp!I233+GenFundExp!I269+GenFundExp!I305+GenFundExp!I341+GenFundExp!I378+GenFundExp!I415+GenFundExp!I452+GenFundExp!I489+GenFundExp!I526+GenFundExp!I563+GenFundExp!I600+GenFundExp!I637+GenFundExp!I675+GenFundExp!I712+GenFundExp!I749+GenFundExp!I786+GenFundExp!I823+GenFundExp!I860+GenFundExp!I897+GenFundExp!I934+GenFundExp!I971+GenFundExp!I1008+GenFundExp!I1045)</f>
        <v>0</v>
      </c>
      <c r="C1084" s="385"/>
    </row>
    <row r="1085" spans="1:9" ht="18.75" x14ac:dyDescent="0.3">
      <c r="A1085" s="152" t="s">
        <v>1581</v>
      </c>
      <c r="B1085" s="611">
        <f>SUM(GenFundExp!I19+GenFundExp!I55+GenFundExp!I91+GenFundExp!I127+GenFundExp!I163+GenFundExp!I199+GenFundExp!I234+GenFundExp!I270+GenFundExp!I306+GenFundExp!I342+GenFundExp!I379+GenFundExp!I416+GenFundExp!I453+GenFundExp!I490+GenFundExp!I527+GenFundExp!I564+GenFundExp!I601+GenFundExp!I638+GenFundExp!I676+GenFundExp!I713+GenFundExp!I750+GenFundExp!I787+GenFundExp!I824+GenFundExp!I861+GenFundExp!I898+GenFundExp!I935+GenFundExp!I972+GenFundExp!I1009+GenFundExp!I1046)</f>
        <v>0</v>
      </c>
      <c r="C1085" s="385"/>
    </row>
    <row r="1086" spans="1:9" ht="18.75" x14ac:dyDescent="0.3">
      <c r="A1086" s="152" t="s">
        <v>127</v>
      </c>
      <c r="B1086" s="611">
        <f>SUM(GenFundExp!I20+GenFundExp!I56+GenFundExp!I92+GenFundExp!I128+GenFundExp!I164+GenFundExp!I200+GenFundExp!I235+GenFundExp!I271+GenFundExp!I307+GenFundExp!I343+GenFundExp!I380+GenFundExp!I417+GenFundExp!I454+GenFundExp!I491+GenFundExp!I528+GenFundExp!I565+GenFundExp!I602+GenFundExp!I639+GenFundExp!I677+GenFundExp!I714+GenFundExp!I751+GenFundExp!I788+GenFundExp!I825+GenFundExp!I862+GenFundExp!I899+GenFundExp!I936+GenFundExp!I973+GenFundExp!I1010+GenFundExp!I1047)</f>
        <v>0</v>
      </c>
      <c r="C1086" s="385"/>
    </row>
    <row r="1087" spans="1:9" ht="18.75" x14ac:dyDescent="0.3">
      <c r="A1087" s="152" t="s">
        <v>128</v>
      </c>
      <c r="B1087" s="611">
        <f>SUM(GenFundExp!I381+GenFundExp!I418+GenFundExp!I455+GenFundExp!I492+GenFundExp!I529+GenFundExp!I566+GenFundExp!I603+GenFundExp!I640+GenFundExp!I678+GenFundExp!I715+GenFundExp!I752+GenFundExp!I789+GenFundExp!I826+GenFundExp!I863+GenFundExp!I900+GenFundExp!I937+GenFundExp!I974+GenFundExp!I1011+GenFundExp!I1048)</f>
        <v>0</v>
      </c>
      <c r="C1087" s="385"/>
    </row>
    <row r="1088" spans="1:9" ht="18.75" x14ac:dyDescent="0.3">
      <c r="A1088" s="152" t="s">
        <v>132</v>
      </c>
      <c r="B1088" s="611">
        <f>SUM(GenFundExp!I21+GenFundExp!I57+GenFundExp!I93+GenFundExp!I129+GenFundExp!I165+GenFundExp!I201+GenFundExp!I236+GenFundExp!I272+GenFundExp!I308+GenFundExp!I344+GenFundExp!I382+GenFundExp!I419+GenFundExp!I456+GenFundExp!I493+GenFundExp!I530+GenFundExp!I567+GenFundExp!I604+GenFundExp!I641+GenFundExp!I679+GenFundExp!I716+GenFundExp!I753+GenFundExp!I790+GenFundExp!I827+GenFundExp!I864+GenFundExp!I901+GenFundExp!I938+GenFundExp!I975+GenFundExp!I1012+GenFundExp!I1049)</f>
        <v>0</v>
      </c>
      <c r="C1088" s="385"/>
    </row>
    <row r="1089" spans="1:3" ht="18.75" x14ac:dyDescent="0.3">
      <c r="A1089" s="152" t="s">
        <v>1618</v>
      </c>
      <c r="B1089" s="611">
        <f>SUM(GenFundExp!I22+GenFundExp!I58+GenFundExp!I94+GenFundExp!I130+GenFundExp!I166+GenFundExp!I202+GenFundExp!I237+GenFundExp!I273+GenFundExp!I309+GenFundExp!I345+GenFundExp!I383+GenFundExp!I420+GenFundExp!I457+GenFundExp!I494+GenFundExp!I531+GenFundExp!I568+GenFundExp!I605+GenFundExp!I642+GenFundExp!I680+GenFundExp!I717+GenFundExp!I754+GenFundExp!I791+GenFundExp!I828+GenFundExp!I865+GenFundExp!I902+GenFundExp!I939+GenFundExp!I976+GenFundExp!I1013+GenFundExp!I1050)</f>
        <v>0</v>
      </c>
      <c r="C1089" s="385"/>
    </row>
    <row r="1090" spans="1:3" ht="18.75" x14ac:dyDescent="0.3">
      <c r="A1090" s="152" t="s">
        <v>1619</v>
      </c>
      <c r="B1090" s="611">
        <f>SUM(GenFundExp!I23+GenFundExp!I59+GenFundExp!I95+GenFundExp!I131+GenFundExp!I167+GenFundExp!I203+GenFundExp!I238+GenFundExp!I274+GenFundExp!I310+GenFundExp!I346+GenFundExp!I384+GenFundExp!I421+GenFundExp!I458+GenFundExp!I495+GenFundExp!I532+GenFundExp!I569+GenFundExp!I606+GenFundExp!I643+GenFundExp!I681+GenFundExp!I718+GenFundExp!I755+GenFundExp!I792+GenFundExp!I829+GenFundExp!I866+GenFundExp!I903+GenFundExp!I940+GenFundExp!I977+GenFundExp!I1014+GenFundExp!I1051)</f>
        <v>0</v>
      </c>
      <c r="C1090" s="385"/>
    </row>
    <row r="1091" spans="1:3" ht="18.75" x14ac:dyDescent="0.3">
      <c r="A1091" s="152" t="s">
        <v>1620</v>
      </c>
      <c r="B1091" s="611">
        <f>SUM(GenFundExp!I24+GenFundExp!I60+GenFundExp!I96+GenFundExp!I132+GenFundExp!I168+GenFundExp!I204+GenFundExp!I239+GenFundExp!I275+GenFundExp!I311+GenFundExp!I347+GenFundExp!I385+GenFundExp!I422+GenFundExp!I459+GenFundExp!I496+GenFundExp!I533+GenFundExp!I570+GenFundExp!I607+GenFundExp!I644+GenFundExp!I682+GenFundExp!I719+GenFundExp!I756+GenFundExp!I793+GenFundExp!I830+GenFundExp!I867+GenFundExp!I904+GenFundExp!I941+GenFundExp!I978+GenFundExp!I1015+GenFundExp!I1052)</f>
        <v>0</v>
      </c>
      <c r="C1091" s="385"/>
    </row>
    <row r="1092" spans="1:3" ht="18.75" x14ac:dyDescent="0.3">
      <c r="A1092" s="152" t="s">
        <v>1621</v>
      </c>
      <c r="B1092" s="611">
        <f>SUM(GenFundExp!I25+GenFundExp!I61+GenFundExp!I97+GenFundExp!I133+GenFundExp!I169+GenFundExp!I205+GenFundExp!I240+GenFundExp!I276+GenFundExp!I312+GenFundExp!I348+GenFundExp!I386+GenFundExp!I423+GenFundExp!I460+GenFundExp!I497+GenFundExp!I534+GenFundExp!I571+GenFundExp!I608+GenFundExp!I645+GenFundExp!I683+GenFundExp!I720+GenFundExp!I757+GenFundExp!I794+GenFundExp!I831+GenFundExp!I868+GenFundExp!I905+GenFundExp!I942+GenFundExp!I979+GenFundExp!I1016+GenFundExp!I1053)</f>
        <v>0</v>
      </c>
      <c r="C1092" s="385"/>
    </row>
    <row r="1093" spans="1:3" ht="18.75" x14ac:dyDescent="0.3">
      <c r="A1093" s="152" t="s">
        <v>1622</v>
      </c>
      <c r="B1093" s="611">
        <f>SUM(GenFundExp!I26+GenFundExp!I62+GenFundExp!I98+GenFundExp!I134+GenFundExp!I170+GenFundExp!I206+GenFundExp!I241+GenFundExp!I277+GenFundExp!I313+GenFundExp!I349+GenFundExp!I387+GenFundExp!I424+GenFundExp!I461+GenFundExp!I498+GenFundExp!I535+GenFundExp!I572+GenFundExp!I609+GenFundExp!I646+GenFundExp!I684+GenFundExp!I721+GenFundExp!I758+GenFundExp!I795+GenFundExp!I832+GenFundExp!I869+GenFundExp!I906+GenFundExp!I943+GenFundExp!I980+GenFundExp!I1017+GenFundExp!I1054)</f>
        <v>0</v>
      </c>
      <c r="C1093" s="385"/>
    </row>
    <row r="1094" spans="1:3" ht="18.75" x14ac:dyDescent="0.3">
      <c r="A1094" s="152" t="s">
        <v>1623</v>
      </c>
      <c r="B1094" s="611">
        <f>SUM(GenFundExp!I27+GenFundExp!I63+GenFundExp!I99+GenFundExp!I135+GenFundExp!I171+GenFundExp!I207+GenFundExp!I242+GenFundExp!I278+GenFundExp!I314+GenFundExp!I350+GenFundExp!I388+GenFundExp!I425+GenFundExp!I462+GenFundExp!I499+GenFundExp!I536+GenFundExp!I573+GenFundExp!I610+GenFundExp!I647+GenFundExp!I685+GenFundExp!I722+GenFundExp!I759+GenFundExp!I796+GenFundExp!I833+GenFundExp!I870+GenFundExp!I907+GenFundExp!I944+GenFundExp!I981+GenFundExp!I1018+GenFundExp!I1055)</f>
        <v>0</v>
      </c>
      <c r="C1094" s="385"/>
    </row>
    <row r="1095" spans="1:3" ht="18.75" x14ac:dyDescent="0.3">
      <c r="A1095" s="152" t="s">
        <v>1624</v>
      </c>
      <c r="B1095" s="611">
        <f>SUM(GenFundExp!I28+GenFundExp!I64+GenFundExp!I100+GenFundExp!I136+GenFundExp!I172+GenFundExp!I208+GenFundExp!I243+GenFundExp!I279+GenFundExp!I315+GenFundExp!I351+GenFundExp!I389+GenFundExp!I426+GenFundExp!I463+GenFundExp!I500+GenFundExp!I537+GenFundExp!I574+GenFundExp!I611+GenFundExp!I648+GenFundExp!I686+GenFundExp!I723+GenFundExp!I760+GenFundExp!I797+GenFundExp!I834+GenFundExp!I871+GenFundExp!I908+GenFundExp!I945+GenFundExp!I982+GenFundExp!I1019+GenFundExp!I1056)</f>
        <v>0</v>
      </c>
      <c r="C1095" s="385"/>
    </row>
    <row r="1096" spans="1:3" ht="18.75" x14ac:dyDescent="0.3">
      <c r="A1096" s="152" t="s">
        <v>1625</v>
      </c>
      <c r="B1096" s="611">
        <f>SUM(GenFundExp!I29+GenFundExp!I65+GenFundExp!I101+GenFundExp!I137+GenFundExp!I173+GenFundExp!I209+GenFundExp!I244+GenFundExp!I280+GenFundExp!I316+GenFundExp!I352+GenFundExp!I390+GenFundExp!I427+GenFundExp!I464+GenFundExp!I501+GenFundExp!I538+GenFundExp!I575+GenFundExp!I612+GenFundExp!I649+GenFundExp!I687+GenFundExp!I724+GenFundExp!I761+GenFundExp!I798+GenFundExp!I835+GenFundExp!I872+GenFundExp!I909+GenFundExp!I946+GenFundExp!I983+GenFundExp!I1020+GenFundExp!I1057)</f>
        <v>0</v>
      </c>
      <c r="C1096" s="385"/>
    </row>
    <row r="1097" spans="1:3" ht="18.75" x14ac:dyDescent="0.3">
      <c r="A1097" s="152" t="s">
        <v>843</v>
      </c>
      <c r="B1097" s="611">
        <f>SUM(GenFundExp!I30+GenFundExp!I66+GenFundExp!I102+GenFundExp!I138+GenFundExp!I174+GenFundExp!I210+GenFundExp!I245+GenFundExp!I281+GenFundExp!I317+GenFundExp!I353+GenFundExp!I391+GenFundExp!I428+GenFundExp!I465+GenFundExp!I502+GenFundExp!I539+GenFundExp!I576+GenFundExp!I613+GenFundExp!I650+GenFundExp!I688+GenFundExp!I725+GenFundExp!I762+GenFundExp!I799+GenFundExp!I836+GenFundExp!I873+GenFundExp!I910+GenFundExp!I947+GenFundExp!I984+GenFundExp!I1021+GenFundExp!I1058)</f>
        <v>0</v>
      </c>
      <c r="C1097" s="385"/>
    </row>
    <row r="1098" spans="1:3" ht="18.75" x14ac:dyDescent="0.3">
      <c r="A1098" s="152" t="s">
        <v>844</v>
      </c>
      <c r="B1098" s="611">
        <f>SUM(GenFundExp!I31+GenFundExp!I67+GenFundExp!I103+GenFundExp!I139+GenFundExp!I175+GenFundExp!I211+GenFundExp!I246+GenFundExp!I282+GenFundExp!I318+GenFundExp!I354+GenFundExp!I392+GenFundExp!I429+GenFundExp!I466+GenFundExp!I503+GenFundExp!I540+GenFundExp!I577+GenFundExp!I614+GenFundExp!I651+GenFundExp!I689+GenFundExp!I726+GenFundExp!I763+GenFundExp!I800+GenFundExp!I837+GenFundExp!I874+GenFundExp!I911+GenFundExp!I948+GenFundExp!I985+GenFundExp!I1022+GenFundExp!I1059)</f>
        <v>0</v>
      </c>
      <c r="C1098" s="385"/>
    </row>
    <row r="1099" spans="1:3" ht="18.75" x14ac:dyDescent="0.3">
      <c r="A1099" s="152" t="s">
        <v>845</v>
      </c>
      <c r="B1099" s="611">
        <f>SUM(GenFundExp!I32+GenFundExp!I68+GenFundExp!I104+GenFundExp!I140+GenFundExp!I176+GenFundExp!I212+GenFundExp!I247+GenFundExp!I283+GenFundExp!I319+GenFundExp!I355+GenFundExp!I393+GenFundExp!I430+GenFundExp!I467+GenFundExp!I504+GenFundExp!I541+GenFundExp!I578+GenFundExp!I615+GenFundExp!I652+GenFundExp!I690+GenFundExp!I727+GenFundExp!I764+GenFundExp!I801+GenFundExp!I838+GenFundExp!I875+GenFundExp!I912+GenFundExp!I949+GenFundExp!I986+GenFundExp!I1023+GenFundExp!I1060)</f>
        <v>0</v>
      </c>
      <c r="C1099" s="385"/>
    </row>
    <row r="1100" spans="1:3" ht="18.75" x14ac:dyDescent="0.3">
      <c r="A1100" s="152" t="s">
        <v>846</v>
      </c>
      <c r="B1100" s="611">
        <f>SUM(GenFundExp!I33+GenFundExp!I69+GenFundExp!I105+GenFundExp!I141+GenFundExp!I177+GenFundExp!I213+GenFundExp!I248+GenFundExp!I284+GenFundExp!I320+GenFundExp!I356+GenFundExp!I394+GenFundExp!I431+GenFundExp!I468+GenFundExp!I505+GenFundExp!I542+GenFundExp!I579+GenFundExp!I616+GenFundExp!I653+GenFundExp!I691+GenFundExp!I728+GenFundExp!I765+GenFundExp!I802+GenFundExp!I839+GenFundExp!I876+GenFundExp!I913+GenFundExp!I950+GenFundExp!I987+GenFundExp!I1024+GenFundExp!I1061)</f>
        <v>0</v>
      </c>
      <c r="C1100" s="385"/>
    </row>
    <row r="1101" spans="1:3" ht="18.75" x14ac:dyDescent="0.3">
      <c r="A1101" s="152" t="s">
        <v>1582</v>
      </c>
      <c r="B1101" s="611">
        <f>SUM(GenFundExp!I34+GenFundExp!I70+GenFundExp!I106+GenFundExp!I142+GenFundExp!I178+GenFundExp!I214+GenFundExp!I249+GenFundExp!I285+GenFundExp!I321+GenFundExp!I357+GenFundExp!I395+GenFundExp!I432+GenFundExp!I469+GenFundExp!I506+GenFundExp!I543+GenFundExp!I580+GenFundExp!I617+GenFundExp!I654+GenFundExp!I692+GenFundExp!I729+GenFundExp!I766+GenFundExp!I803+GenFundExp!I840+GenFundExp!I877+GenFundExp!I914+GenFundExp!I951+GenFundExp!I988+GenFundExp!I1025+GenFundExp!I1062)</f>
        <v>0</v>
      </c>
      <c r="C1101" s="385"/>
    </row>
    <row r="1102" spans="1:3" ht="18.75" x14ac:dyDescent="0.3">
      <c r="A1102" s="152" t="s">
        <v>847</v>
      </c>
      <c r="B1102" s="611">
        <f>SUM(GenFundExp!I35+GenFundExp!I71+GenFundExp!I107+GenFundExp!I143+GenFundExp!I179+GenFundExp!I215+GenFundExp!I250+GenFundExp!I286+GenFundExp!I322+GenFundExp!I358+GenFundExp!I396+GenFundExp!I433+GenFundExp!I470+GenFundExp!I507+GenFundExp!I544+GenFundExp!I581+GenFundExp!I618+GenFundExp!I655+GenFundExp!I693+GenFundExp!I730+GenFundExp!I767+GenFundExp!I804+GenFundExp!I841+GenFundExp!I878+GenFundExp!I915+GenFundExp!I952+GenFundExp!I989+GenFundExp!I1026+GenFundExp!I1063)</f>
        <v>0</v>
      </c>
      <c r="C1102" s="385"/>
    </row>
    <row r="1103" spans="1:3" ht="18.75" x14ac:dyDescent="0.3">
      <c r="A1103" s="152" t="s">
        <v>1583</v>
      </c>
      <c r="B1103" s="611">
        <f>SUM(GenFundExp!I36+GenFundExp!I72+GenFundExp!I108+GenFundExp!I144+GenFundExp!I180+GenFundExp!I216+GenFundExp!I251+GenFundExp!I287+GenFundExp!I323+GenFundExp!I359+GenFundExp!I397+GenFundExp!I434+GenFundExp!I471+GenFundExp!I508+GenFundExp!I545+GenFundExp!I582+GenFundExp!I619+GenFundExp!I656+GenFundExp!I694+GenFundExp!I731+GenFundExp!I768+GenFundExp!I805+GenFundExp!I842+GenFundExp!I879+GenFundExp!I916+GenFundExp!I953+GenFundExp!I990+GenFundExp!I1027+GenFundExp!I1064)</f>
        <v>0</v>
      </c>
      <c r="C1103" s="385"/>
    </row>
    <row r="1104" spans="1:3" ht="18.75" x14ac:dyDescent="0.3">
      <c r="A1104" s="152" t="s">
        <v>634</v>
      </c>
      <c r="B1104" s="611">
        <f>SUM(GenFundExp!I37+GenFundExp!I73+GenFundExp!I109+GenFundExp!I145+GenFundExp!I181+GenFundExp!I217+GenFundExp!I252+GenFundExp!I288+GenFundExp!I324+GenFundExp!I360+GenFundExp!I398+GenFundExp!I435+GenFundExp!I472+GenFundExp!I509+GenFundExp!I546+GenFundExp!I583+GenFundExp!I620+GenFundExp!I657+GenFundExp!I695+GenFundExp!I732+GenFundExp!I769+GenFundExp!I806+GenFundExp!I843+GenFundExp!I880+GenFundExp!I917+GenFundExp!I954+GenFundExp!I991+GenFundExp!I1028+GenFundExp!I1065)</f>
        <v>0</v>
      </c>
      <c r="C1104" s="385"/>
    </row>
    <row r="1105" spans="1:3" ht="18" x14ac:dyDescent="0.25">
      <c r="A1105" s="311" t="s">
        <v>202</v>
      </c>
      <c r="B1105" s="613">
        <f>I658</f>
        <v>0</v>
      </c>
      <c r="C1105" s="385"/>
    </row>
    <row r="1106" spans="1:3" ht="18" x14ac:dyDescent="0.25">
      <c r="A1106" s="152" t="s">
        <v>630</v>
      </c>
      <c r="B1106" s="613">
        <f t="shared" ref="B1106:B1111" si="29">SUM(I38+I74+I110+I146+I182+I217+I253+I289+I325+I361+I399+I436+I473+I510+I547+I584+I621+I659+I696+I733+I770+I807+I844+I881+I918+I955+I992+I1029+I1066)</f>
        <v>0</v>
      </c>
      <c r="C1106" s="385"/>
    </row>
    <row r="1107" spans="1:3" ht="18" x14ac:dyDescent="0.25">
      <c r="A1107" s="152" t="s">
        <v>631</v>
      </c>
      <c r="B1107" s="613">
        <f t="shared" si="29"/>
        <v>0</v>
      </c>
      <c r="C1107" s="385"/>
    </row>
    <row r="1108" spans="1:3" ht="18" x14ac:dyDescent="0.25">
      <c r="A1108" s="152" t="s">
        <v>1584</v>
      </c>
      <c r="B1108" s="613">
        <f t="shared" si="29"/>
        <v>0</v>
      </c>
      <c r="C1108" s="385"/>
    </row>
    <row r="1109" spans="1:3" ht="18" x14ac:dyDescent="0.25">
      <c r="A1109" s="152" t="s">
        <v>174</v>
      </c>
      <c r="B1109" s="613">
        <f t="shared" si="29"/>
        <v>0</v>
      </c>
      <c r="C1109" s="385"/>
    </row>
    <row r="1110" spans="1:3" ht="18" x14ac:dyDescent="0.25">
      <c r="A1110" s="152" t="s">
        <v>175</v>
      </c>
      <c r="B1110" s="613">
        <f t="shared" si="29"/>
        <v>0</v>
      </c>
      <c r="C1110" s="385"/>
    </row>
    <row r="1111" spans="1:3" ht="18" x14ac:dyDescent="0.25">
      <c r="A1111" s="152" t="s">
        <v>176</v>
      </c>
      <c r="B1111" s="613">
        <f t="shared" si="29"/>
        <v>0</v>
      </c>
      <c r="C1111" s="385"/>
    </row>
    <row r="1112" spans="1:3" x14ac:dyDescent="0.15">
      <c r="A1112" s="167"/>
      <c r="B1112" s="614"/>
      <c r="C1112" s="385"/>
    </row>
    <row r="1113" spans="1:3" x14ac:dyDescent="0.15">
      <c r="A1113" s="167"/>
      <c r="B1113" s="614"/>
      <c r="C1113" s="385"/>
    </row>
    <row r="1114" spans="1:3" x14ac:dyDescent="0.15">
      <c r="B1114" s="526"/>
      <c r="C1114" s="434"/>
    </row>
    <row r="1115" spans="1:3" x14ac:dyDescent="0.15">
      <c r="B1115" s="526"/>
      <c r="C1115" s="434"/>
    </row>
    <row r="1116" spans="1:3" x14ac:dyDescent="0.15">
      <c r="B1116" s="434"/>
      <c r="C1116" s="434"/>
    </row>
    <row r="1117" spans="1:3" x14ac:dyDescent="0.15">
      <c r="B1117" s="434"/>
      <c r="C1117" s="434"/>
    </row>
    <row r="1118" spans="1:3" x14ac:dyDescent="0.15">
      <c r="B1118" s="434"/>
      <c r="C1118" s="434"/>
    </row>
    <row r="1119" spans="1:3" x14ac:dyDescent="0.15">
      <c r="B1119" s="434"/>
      <c r="C1119" s="434"/>
    </row>
    <row r="1120" spans="1:3" x14ac:dyDescent="0.15">
      <c r="B1120" s="434"/>
      <c r="C1120" s="434"/>
    </row>
    <row r="1121" spans="2:3" x14ac:dyDescent="0.15">
      <c r="B1121" s="434"/>
      <c r="C1121" s="434"/>
    </row>
    <row r="1122" spans="2:3" x14ac:dyDescent="0.15">
      <c r="B1122" s="434"/>
      <c r="C1122" s="434"/>
    </row>
    <row r="1123" spans="2:3" x14ac:dyDescent="0.15">
      <c r="B1123" s="434"/>
      <c r="C1123" s="434"/>
    </row>
    <row r="1124" spans="2:3" x14ac:dyDescent="0.15">
      <c r="B1124" s="434"/>
      <c r="C1124" s="434"/>
    </row>
    <row r="1125" spans="2:3" x14ac:dyDescent="0.15">
      <c r="B1125" s="434"/>
      <c r="C1125" s="434"/>
    </row>
    <row r="1126" spans="2:3" x14ac:dyDescent="0.15">
      <c r="B1126" s="434"/>
      <c r="C1126" s="434"/>
    </row>
    <row r="1127" spans="2:3" x14ac:dyDescent="0.15">
      <c r="B1127" s="434"/>
      <c r="C1127" s="434"/>
    </row>
    <row r="1128" spans="2:3" x14ac:dyDescent="0.15">
      <c r="B1128" s="434"/>
      <c r="C1128" s="434"/>
    </row>
    <row r="1129" spans="2:3" x14ac:dyDescent="0.15">
      <c r="B1129" s="434"/>
      <c r="C1129" s="434"/>
    </row>
    <row r="1130" spans="2:3" x14ac:dyDescent="0.15">
      <c r="B1130" s="434"/>
      <c r="C1130" s="434"/>
    </row>
    <row r="1131" spans="2:3" x14ac:dyDescent="0.15">
      <c r="B1131" s="434"/>
      <c r="C1131" s="434"/>
    </row>
    <row r="1132" spans="2:3" x14ac:dyDescent="0.15">
      <c r="B1132" s="434"/>
      <c r="C1132" s="434"/>
    </row>
    <row r="1133" spans="2:3" x14ac:dyDescent="0.15">
      <c r="B1133" s="434"/>
      <c r="C1133" s="434"/>
    </row>
    <row r="1134" spans="2:3" x14ac:dyDescent="0.15">
      <c r="B1134" s="434"/>
      <c r="C1134" s="434"/>
    </row>
    <row r="1135" spans="2:3" x14ac:dyDescent="0.15">
      <c r="B1135" s="434"/>
      <c r="C1135" s="434"/>
    </row>
    <row r="1136" spans="2:3" x14ac:dyDescent="0.15">
      <c r="B1136" s="434"/>
      <c r="C1136" s="434"/>
    </row>
    <row r="1137" spans="2:3" x14ac:dyDescent="0.15">
      <c r="B1137" s="434"/>
      <c r="C1137" s="434"/>
    </row>
    <row r="1138" spans="2:3" x14ac:dyDescent="0.15">
      <c r="B1138" s="434"/>
      <c r="C1138" s="434"/>
    </row>
    <row r="1139" spans="2:3" x14ac:dyDescent="0.15">
      <c r="B1139" s="434"/>
      <c r="C1139" s="434"/>
    </row>
    <row r="1140" spans="2:3" x14ac:dyDescent="0.15">
      <c r="B1140" s="434"/>
      <c r="C1140" s="434"/>
    </row>
    <row r="1141" spans="2:3" x14ac:dyDescent="0.15">
      <c r="B1141" s="434"/>
      <c r="C1141" s="434"/>
    </row>
    <row r="1142" spans="2:3" x14ac:dyDescent="0.15">
      <c r="B1142" s="434"/>
      <c r="C1142" s="434"/>
    </row>
    <row r="1143" spans="2:3" x14ac:dyDescent="0.15">
      <c r="B1143" s="434"/>
      <c r="C1143" s="434"/>
    </row>
    <row r="1144" spans="2:3" x14ac:dyDescent="0.15">
      <c r="B1144" s="434"/>
      <c r="C1144" s="434"/>
    </row>
    <row r="1145" spans="2:3" x14ac:dyDescent="0.15">
      <c r="B1145" s="434"/>
      <c r="C1145" s="434"/>
    </row>
    <row r="1146" spans="2:3" x14ac:dyDescent="0.15">
      <c r="B1146" s="434"/>
      <c r="C1146" s="434"/>
    </row>
    <row r="1147" spans="2:3" x14ac:dyDescent="0.15">
      <c r="B1147" s="434"/>
      <c r="C1147" s="434"/>
    </row>
    <row r="1148" spans="2:3" x14ac:dyDescent="0.15">
      <c r="B1148" s="434"/>
      <c r="C1148" s="434"/>
    </row>
    <row r="1149" spans="2:3" x14ac:dyDescent="0.15">
      <c r="B1149" s="434"/>
      <c r="C1149" s="434"/>
    </row>
    <row r="1150" spans="2:3" x14ac:dyDescent="0.15">
      <c r="B1150" s="434"/>
      <c r="C1150" s="434"/>
    </row>
    <row r="1151" spans="2:3" x14ac:dyDescent="0.15">
      <c r="B1151" s="434"/>
      <c r="C1151" s="434"/>
    </row>
    <row r="1152" spans="2:3" x14ac:dyDescent="0.15">
      <c r="B1152" s="434"/>
      <c r="C1152" s="434"/>
    </row>
    <row r="1153" spans="2:3" x14ac:dyDescent="0.15">
      <c r="B1153" s="434"/>
      <c r="C1153" s="434"/>
    </row>
    <row r="1154" spans="2:3" x14ac:dyDescent="0.15">
      <c r="B1154" s="434"/>
      <c r="C1154" s="434"/>
    </row>
    <row r="1155" spans="2:3" x14ac:dyDescent="0.15">
      <c r="B1155" s="434"/>
      <c r="C1155" s="434"/>
    </row>
    <row r="1156" spans="2:3" x14ac:dyDescent="0.15">
      <c r="B1156" s="434"/>
      <c r="C1156" s="434"/>
    </row>
    <row r="1157" spans="2:3" x14ac:dyDescent="0.15">
      <c r="B1157" s="434"/>
      <c r="C1157" s="434"/>
    </row>
    <row r="1158" spans="2:3" x14ac:dyDescent="0.15">
      <c r="B1158" s="434"/>
      <c r="C1158" s="434"/>
    </row>
    <row r="1159" spans="2:3" x14ac:dyDescent="0.15">
      <c r="B1159" s="434"/>
      <c r="C1159" s="434"/>
    </row>
    <row r="1160" spans="2:3" x14ac:dyDescent="0.15">
      <c r="B1160" s="434"/>
      <c r="C1160" s="434"/>
    </row>
    <row r="1161" spans="2:3" x14ac:dyDescent="0.15">
      <c r="B1161" s="434"/>
      <c r="C1161" s="434"/>
    </row>
    <row r="1162" spans="2:3" x14ac:dyDescent="0.15">
      <c r="B1162" s="434"/>
      <c r="C1162" s="434"/>
    </row>
    <row r="1163" spans="2:3" x14ac:dyDescent="0.15">
      <c r="B1163" s="434"/>
      <c r="C1163" s="434"/>
    </row>
    <row r="1164" spans="2:3" x14ac:dyDescent="0.15">
      <c r="B1164" s="434"/>
      <c r="C1164" s="434"/>
    </row>
    <row r="1165" spans="2:3" x14ac:dyDescent="0.15">
      <c r="B1165" s="434"/>
      <c r="C1165" s="434"/>
    </row>
    <row r="1166" spans="2:3" x14ac:dyDescent="0.15">
      <c r="B1166" s="434"/>
      <c r="C1166" s="434"/>
    </row>
    <row r="1167" spans="2:3" x14ac:dyDescent="0.15">
      <c r="B1167" s="434"/>
      <c r="C1167" s="434"/>
    </row>
    <row r="1168" spans="2:3" x14ac:dyDescent="0.15">
      <c r="B1168" s="434"/>
      <c r="C1168" s="434"/>
    </row>
    <row r="1169" spans="2:3" x14ac:dyDescent="0.15">
      <c r="B1169" s="434"/>
      <c r="C1169" s="434"/>
    </row>
    <row r="1170" spans="2:3" x14ac:dyDescent="0.15">
      <c r="B1170" s="434"/>
      <c r="C1170" s="434"/>
    </row>
    <row r="1171" spans="2:3" x14ac:dyDescent="0.15">
      <c r="B1171" s="434"/>
      <c r="C1171" s="434"/>
    </row>
    <row r="1172" spans="2:3" x14ac:dyDescent="0.15">
      <c r="B1172" s="434"/>
      <c r="C1172" s="434"/>
    </row>
    <row r="1173" spans="2:3" x14ac:dyDescent="0.15">
      <c r="B1173" s="434"/>
      <c r="C1173" s="434"/>
    </row>
    <row r="1174" spans="2:3" x14ac:dyDescent="0.15">
      <c r="B1174" s="434"/>
      <c r="C1174" s="434"/>
    </row>
    <row r="1175" spans="2:3" x14ac:dyDescent="0.15">
      <c r="B1175" s="434"/>
      <c r="C1175" s="434"/>
    </row>
    <row r="1176" spans="2:3" x14ac:dyDescent="0.15">
      <c r="B1176" s="434"/>
      <c r="C1176" s="434"/>
    </row>
    <row r="1177" spans="2:3" x14ac:dyDescent="0.15">
      <c r="B1177" s="434"/>
      <c r="C1177" s="434"/>
    </row>
    <row r="1178" spans="2:3" x14ac:dyDescent="0.15">
      <c r="B1178" s="434"/>
      <c r="C1178" s="434"/>
    </row>
    <row r="1179" spans="2:3" x14ac:dyDescent="0.15">
      <c r="B1179" s="434"/>
      <c r="C1179" s="434"/>
    </row>
    <row r="1180" spans="2:3" x14ac:dyDescent="0.15">
      <c r="B1180" s="434"/>
      <c r="C1180" s="434"/>
    </row>
    <row r="1181" spans="2:3" x14ac:dyDescent="0.15">
      <c r="B1181" s="434"/>
      <c r="C1181" s="434"/>
    </row>
    <row r="1182" spans="2:3" x14ac:dyDescent="0.15">
      <c r="B1182" s="434"/>
      <c r="C1182" s="434"/>
    </row>
    <row r="1183" spans="2:3" x14ac:dyDescent="0.15">
      <c r="B1183" s="434"/>
      <c r="C1183" s="434"/>
    </row>
    <row r="1184" spans="2:3" x14ac:dyDescent="0.15">
      <c r="B1184" s="434"/>
      <c r="C1184" s="434"/>
    </row>
    <row r="1185" spans="2:3" x14ac:dyDescent="0.15">
      <c r="B1185" s="434"/>
      <c r="C1185" s="434"/>
    </row>
    <row r="1186" spans="2:3" x14ac:dyDescent="0.15">
      <c r="B1186" s="434"/>
      <c r="C1186" s="434"/>
    </row>
    <row r="1187" spans="2:3" x14ac:dyDescent="0.15">
      <c r="B1187" s="434"/>
      <c r="C1187" s="434"/>
    </row>
    <row r="1188" spans="2:3" x14ac:dyDescent="0.15">
      <c r="B1188" s="434"/>
      <c r="C1188" s="434"/>
    </row>
    <row r="1189" spans="2:3" x14ac:dyDescent="0.15">
      <c r="B1189" s="434"/>
      <c r="C1189" s="434"/>
    </row>
    <row r="1190" spans="2:3" x14ac:dyDescent="0.15">
      <c r="B1190" s="434"/>
      <c r="C1190" s="434"/>
    </row>
    <row r="1191" spans="2:3" x14ac:dyDescent="0.15">
      <c r="B1191" s="434"/>
      <c r="C1191" s="434"/>
    </row>
    <row r="1192" spans="2:3" x14ac:dyDescent="0.15">
      <c r="B1192" s="434"/>
      <c r="C1192" s="434"/>
    </row>
    <row r="1193" spans="2:3" x14ac:dyDescent="0.15">
      <c r="B1193" s="434"/>
      <c r="C1193" s="434"/>
    </row>
    <row r="1194" spans="2:3" x14ac:dyDescent="0.15">
      <c r="B1194" s="434"/>
      <c r="C1194" s="434"/>
    </row>
    <row r="1195" spans="2:3" x14ac:dyDescent="0.15">
      <c r="B1195" s="434"/>
      <c r="C1195" s="434"/>
    </row>
    <row r="1196" spans="2:3" x14ac:dyDescent="0.15">
      <c r="B1196" s="434"/>
      <c r="C1196" s="434"/>
    </row>
    <row r="1197" spans="2:3" x14ac:dyDescent="0.15">
      <c r="B1197" s="434"/>
      <c r="C1197" s="434"/>
    </row>
    <row r="1198" spans="2:3" x14ac:dyDescent="0.15">
      <c r="B1198" s="434"/>
      <c r="C1198" s="434"/>
    </row>
    <row r="1199" spans="2:3" x14ac:dyDescent="0.15">
      <c r="B1199" s="434"/>
      <c r="C1199" s="434"/>
    </row>
    <row r="1200" spans="2:3" x14ac:dyDescent="0.15">
      <c r="B1200" s="434"/>
      <c r="C1200" s="434"/>
    </row>
    <row r="1201" spans="2:3" x14ac:dyDescent="0.15">
      <c r="B1201" s="434"/>
      <c r="C1201" s="434"/>
    </row>
    <row r="1202" spans="2:3" x14ac:dyDescent="0.15">
      <c r="B1202" s="434"/>
      <c r="C1202" s="434"/>
    </row>
    <row r="1203" spans="2:3" x14ac:dyDescent="0.15">
      <c r="B1203" s="434"/>
      <c r="C1203" s="434"/>
    </row>
    <row r="1204" spans="2:3" x14ac:dyDescent="0.15">
      <c r="B1204" s="434"/>
      <c r="C1204" s="434"/>
    </row>
    <row r="1205" spans="2:3" x14ac:dyDescent="0.15">
      <c r="B1205" s="434"/>
      <c r="C1205" s="434"/>
    </row>
    <row r="1206" spans="2:3" x14ac:dyDescent="0.15">
      <c r="B1206" s="434"/>
      <c r="C1206" s="434"/>
    </row>
    <row r="1207" spans="2:3" x14ac:dyDescent="0.15">
      <c r="B1207" s="434"/>
      <c r="C1207" s="434"/>
    </row>
    <row r="1208" spans="2:3" x14ac:dyDescent="0.15">
      <c r="B1208" s="434"/>
      <c r="C1208" s="434"/>
    </row>
    <row r="1209" spans="2:3" x14ac:dyDescent="0.15">
      <c r="B1209" s="434"/>
      <c r="C1209" s="434"/>
    </row>
    <row r="1210" spans="2:3" x14ac:dyDescent="0.15">
      <c r="B1210" s="434"/>
      <c r="C1210" s="434"/>
    </row>
    <row r="1211" spans="2:3" x14ac:dyDescent="0.15">
      <c r="B1211" s="434"/>
      <c r="C1211" s="434"/>
    </row>
    <row r="1212" spans="2:3" x14ac:dyDescent="0.15">
      <c r="B1212" s="434"/>
      <c r="C1212" s="434"/>
    </row>
    <row r="1213" spans="2:3" x14ac:dyDescent="0.15">
      <c r="B1213" s="434"/>
      <c r="C1213" s="434"/>
    </row>
    <row r="1214" spans="2:3" x14ac:dyDescent="0.15">
      <c r="B1214" s="434"/>
      <c r="C1214" s="434"/>
    </row>
    <row r="1215" spans="2:3" x14ac:dyDescent="0.15">
      <c r="B1215" s="434"/>
      <c r="C1215" s="434"/>
    </row>
    <row r="1216" spans="2:3" x14ac:dyDescent="0.15">
      <c r="B1216" s="434"/>
      <c r="C1216" s="434"/>
    </row>
    <row r="1217" spans="2:3" x14ac:dyDescent="0.15">
      <c r="B1217" s="434"/>
      <c r="C1217" s="434"/>
    </row>
    <row r="1218" spans="2:3" x14ac:dyDescent="0.15">
      <c r="B1218" s="434"/>
      <c r="C1218" s="434"/>
    </row>
    <row r="1219" spans="2:3" x14ac:dyDescent="0.15">
      <c r="B1219" s="434"/>
      <c r="C1219" s="434"/>
    </row>
    <row r="1220" spans="2:3" x14ac:dyDescent="0.15">
      <c r="B1220" s="434"/>
      <c r="C1220" s="434"/>
    </row>
    <row r="1221" spans="2:3" x14ac:dyDescent="0.15">
      <c r="B1221" s="434"/>
      <c r="C1221" s="434"/>
    </row>
    <row r="1222" spans="2:3" x14ac:dyDescent="0.15">
      <c r="B1222" s="434"/>
      <c r="C1222" s="434"/>
    </row>
    <row r="1223" spans="2:3" x14ac:dyDescent="0.15">
      <c r="B1223" s="434"/>
      <c r="C1223" s="434"/>
    </row>
    <row r="1224" spans="2:3" x14ac:dyDescent="0.15">
      <c r="B1224" s="434"/>
      <c r="C1224" s="434"/>
    </row>
    <row r="1225" spans="2:3" x14ac:dyDescent="0.15">
      <c r="B1225" s="434"/>
      <c r="C1225" s="434"/>
    </row>
    <row r="1226" spans="2:3" x14ac:dyDescent="0.15">
      <c r="B1226" s="434"/>
      <c r="C1226" s="434"/>
    </row>
    <row r="1227" spans="2:3" x14ac:dyDescent="0.15">
      <c r="B1227" s="434"/>
      <c r="C1227" s="434"/>
    </row>
    <row r="1228" spans="2:3" x14ac:dyDescent="0.15">
      <c r="B1228" s="434"/>
      <c r="C1228" s="434"/>
    </row>
    <row r="1229" spans="2:3" x14ac:dyDescent="0.15">
      <c r="B1229" s="434"/>
      <c r="C1229" s="434"/>
    </row>
    <row r="1230" spans="2:3" x14ac:dyDescent="0.15">
      <c r="B1230" s="434"/>
      <c r="C1230" s="434"/>
    </row>
    <row r="1231" spans="2:3" x14ac:dyDescent="0.15">
      <c r="B1231" s="434"/>
      <c r="C1231" s="434"/>
    </row>
    <row r="1232" spans="2:3" x14ac:dyDescent="0.15">
      <c r="B1232" s="434"/>
      <c r="C1232" s="434"/>
    </row>
    <row r="1233" spans="2:3" x14ac:dyDescent="0.15">
      <c r="B1233" s="434"/>
      <c r="C1233" s="434"/>
    </row>
    <row r="1234" spans="2:3" x14ac:dyDescent="0.15">
      <c r="B1234" s="434"/>
      <c r="C1234" s="434"/>
    </row>
    <row r="1235" spans="2:3" x14ac:dyDescent="0.15">
      <c r="B1235" s="434"/>
      <c r="C1235" s="434"/>
    </row>
    <row r="1236" spans="2:3" x14ac:dyDescent="0.15">
      <c r="B1236" s="434"/>
      <c r="C1236" s="434"/>
    </row>
    <row r="1237" spans="2:3" x14ac:dyDescent="0.15">
      <c r="B1237" s="434"/>
      <c r="C1237" s="434"/>
    </row>
    <row r="1238" spans="2:3" x14ac:dyDescent="0.15">
      <c r="B1238" s="434"/>
      <c r="C1238" s="434"/>
    </row>
    <row r="1239" spans="2:3" x14ac:dyDescent="0.15">
      <c r="B1239" s="434"/>
      <c r="C1239" s="434"/>
    </row>
    <row r="1240" spans="2:3" x14ac:dyDescent="0.15">
      <c r="B1240" s="434"/>
      <c r="C1240" s="434"/>
    </row>
    <row r="1241" spans="2:3" x14ac:dyDescent="0.15">
      <c r="B1241" s="434"/>
      <c r="C1241" s="434"/>
    </row>
    <row r="1242" spans="2:3" x14ac:dyDescent="0.15">
      <c r="B1242" s="434"/>
      <c r="C1242" s="434"/>
    </row>
    <row r="1243" spans="2:3" x14ac:dyDescent="0.15">
      <c r="B1243" s="434"/>
      <c r="C1243" s="434"/>
    </row>
    <row r="1244" spans="2:3" x14ac:dyDescent="0.15">
      <c r="B1244" s="434"/>
      <c r="C1244" s="434"/>
    </row>
    <row r="1245" spans="2:3" x14ac:dyDescent="0.15">
      <c r="B1245" s="434"/>
      <c r="C1245" s="434"/>
    </row>
    <row r="1246" spans="2:3" x14ac:dyDescent="0.15">
      <c r="B1246" s="434"/>
      <c r="C1246" s="434"/>
    </row>
    <row r="1247" spans="2:3" x14ac:dyDescent="0.15">
      <c r="B1247" s="434"/>
      <c r="C1247" s="434"/>
    </row>
    <row r="1248" spans="2:3" x14ac:dyDescent="0.15">
      <c r="B1248" s="434"/>
      <c r="C1248" s="434"/>
    </row>
    <row r="1249" spans="2:3" x14ac:dyDescent="0.15">
      <c r="B1249" s="434"/>
      <c r="C1249" s="434"/>
    </row>
    <row r="1250" spans="2:3" x14ac:dyDescent="0.15">
      <c r="B1250" s="434"/>
      <c r="C1250" s="434"/>
    </row>
    <row r="1251" spans="2:3" x14ac:dyDescent="0.15">
      <c r="B1251" s="434"/>
      <c r="C1251" s="434"/>
    </row>
    <row r="1252" spans="2:3" x14ac:dyDescent="0.15">
      <c r="B1252" s="434"/>
      <c r="C1252" s="434"/>
    </row>
    <row r="1253" spans="2:3" x14ac:dyDescent="0.15">
      <c r="B1253" s="434"/>
      <c r="C1253" s="434"/>
    </row>
    <row r="1254" spans="2:3" x14ac:dyDescent="0.15">
      <c r="B1254" s="434"/>
      <c r="C1254" s="434"/>
    </row>
    <row r="1255" spans="2:3" x14ac:dyDescent="0.15">
      <c r="B1255" s="434"/>
      <c r="C1255" s="434"/>
    </row>
    <row r="1256" spans="2:3" x14ac:dyDescent="0.15">
      <c r="B1256" s="434"/>
      <c r="C1256" s="434"/>
    </row>
    <row r="1257" spans="2:3" x14ac:dyDescent="0.15">
      <c r="B1257" s="434"/>
      <c r="C1257" s="434"/>
    </row>
    <row r="1258" spans="2:3" x14ac:dyDescent="0.15">
      <c r="B1258" s="434"/>
      <c r="C1258" s="434"/>
    </row>
    <row r="1259" spans="2:3" x14ac:dyDescent="0.15">
      <c r="B1259" s="434"/>
      <c r="C1259" s="434"/>
    </row>
    <row r="1260" spans="2:3" x14ac:dyDescent="0.15">
      <c r="B1260" s="434"/>
      <c r="C1260" s="434"/>
    </row>
    <row r="1261" spans="2:3" x14ac:dyDescent="0.15">
      <c r="B1261" s="434"/>
      <c r="C1261" s="434"/>
    </row>
    <row r="1262" spans="2:3" x14ac:dyDescent="0.15">
      <c r="B1262" s="434"/>
      <c r="C1262" s="434"/>
    </row>
    <row r="1263" spans="2:3" x14ac:dyDescent="0.15">
      <c r="B1263" s="434"/>
      <c r="C1263" s="434"/>
    </row>
    <row r="1264" spans="2:3" x14ac:dyDescent="0.15">
      <c r="B1264" s="434"/>
      <c r="C1264" s="434"/>
    </row>
    <row r="1265" spans="2:3" x14ac:dyDescent="0.15">
      <c r="B1265" s="434"/>
      <c r="C1265" s="434"/>
    </row>
    <row r="1266" spans="2:3" x14ac:dyDescent="0.15">
      <c r="B1266" s="434"/>
      <c r="C1266" s="434"/>
    </row>
    <row r="1267" spans="2:3" x14ac:dyDescent="0.15">
      <c r="B1267" s="434"/>
      <c r="C1267" s="434"/>
    </row>
    <row r="1268" spans="2:3" x14ac:dyDescent="0.15">
      <c r="B1268" s="434"/>
      <c r="C1268" s="434"/>
    </row>
    <row r="1269" spans="2:3" x14ac:dyDescent="0.15">
      <c r="B1269" s="434"/>
      <c r="C1269" s="434"/>
    </row>
    <row r="1270" spans="2:3" x14ac:dyDescent="0.15">
      <c r="B1270" s="434"/>
      <c r="C1270" s="434"/>
    </row>
    <row r="1271" spans="2:3" x14ac:dyDescent="0.15">
      <c r="B1271" s="434"/>
      <c r="C1271" s="434"/>
    </row>
    <row r="1272" spans="2:3" x14ac:dyDescent="0.15">
      <c r="B1272" s="434"/>
      <c r="C1272" s="434"/>
    </row>
    <row r="1273" spans="2:3" x14ac:dyDescent="0.15">
      <c r="B1273" s="434"/>
      <c r="C1273" s="434"/>
    </row>
    <row r="1274" spans="2:3" x14ac:dyDescent="0.15">
      <c r="B1274" s="434"/>
      <c r="C1274" s="434"/>
    </row>
    <row r="1275" spans="2:3" x14ac:dyDescent="0.15">
      <c r="B1275" s="434"/>
      <c r="C1275" s="434"/>
    </row>
    <row r="1276" spans="2:3" x14ac:dyDescent="0.15">
      <c r="B1276" s="434"/>
      <c r="C1276" s="434"/>
    </row>
    <row r="1277" spans="2:3" x14ac:dyDescent="0.15">
      <c r="B1277" s="434"/>
      <c r="C1277" s="434"/>
    </row>
    <row r="1278" spans="2:3" x14ac:dyDescent="0.15">
      <c r="B1278" s="434"/>
      <c r="C1278" s="434"/>
    </row>
    <row r="1279" spans="2:3" x14ac:dyDescent="0.15">
      <c r="B1279" s="434"/>
      <c r="C1279" s="434"/>
    </row>
    <row r="1280" spans="2:3" x14ac:dyDescent="0.15">
      <c r="B1280" s="434"/>
      <c r="C1280" s="434"/>
    </row>
    <row r="1281" spans="2:3" x14ac:dyDescent="0.15">
      <c r="B1281" s="434"/>
      <c r="C1281" s="434"/>
    </row>
    <row r="1282" spans="2:3" x14ac:dyDescent="0.15">
      <c r="B1282" s="434"/>
      <c r="C1282" s="434"/>
    </row>
    <row r="1283" spans="2:3" x14ac:dyDescent="0.15">
      <c r="B1283" s="434"/>
      <c r="C1283" s="434"/>
    </row>
    <row r="1284" spans="2:3" x14ac:dyDescent="0.15">
      <c r="B1284" s="434"/>
      <c r="C1284" s="434"/>
    </row>
    <row r="1285" spans="2:3" x14ac:dyDescent="0.15">
      <c r="B1285" s="434"/>
      <c r="C1285" s="434"/>
    </row>
    <row r="1286" spans="2:3" x14ac:dyDescent="0.15">
      <c r="B1286" s="434"/>
      <c r="C1286" s="434"/>
    </row>
    <row r="1287" spans="2:3" x14ac:dyDescent="0.15">
      <c r="B1287" s="434"/>
      <c r="C1287" s="434"/>
    </row>
    <row r="1288" spans="2:3" x14ac:dyDescent="0.15">
      <c r="B1288" s="434"/>
      <c r="C1288" s="434"/>
    </row>
    <row r="1289" spans="2:3" x14ac:dyDescent="0.15">
      <c r="B1289" s="434"/>
      <c r="C1289" s="434"/>
    </row>
    <row r="1290" spans="2:3" x14ac:dyDescent="0.15">
      <c r="B1290" s="434"/>
      <c r="C1290" s="434"/>
    </row>
    <row r="1291" spans="2:3" x14ac:dyDescent="0.15">
      <c r="B1291" s="434"/>
      <c r="C1291" s="434"/>
    </row>
    <row r="1292" spans="2:3" x14ac:dyDescent="0.15">
      <c r="B1292" s="434"/>
      <c r="C1292" s="434"/>
    </row>
    <row r="1293" spans="2:3" x14ac:dyDescent="0.15">
      <c r="B1293" s="434"/>
      <c r="C1293" s="434"/>
    </row>
    <row r="1294" spans="2:3" x14ac:dyDescent="0.15">
      <c r="B1294" s="434"/>
      <c r="C1294" s="434"/>
    </row>
    <row r="1295" spans="2:3" x14ac:dyDescent="0.15">
      <c r="B1295" s="434"/>
      <c r="C1295" s="434"/>
    </row>
    <row r="1296" spans="2:3" x14ac:dyDescent="0.15">
      <c r="B1296" s="434"/>
      <c r="C1296" s="434"/>
    </row>
    <row r="1297" spans="2:3" x14ac:dyDescent="0.15">
      <c r="B1297" s="434"/>
      <c r="C1297" s="434"/>
    </row>
    <row r="1298" spans="2:3" x14ac:dyDescent="0.15">
      <c r="B1298" s="434"/>
      <c r="C1298" s="434"/>
    </row>
    <row r="1299" spans="2:3" x14ac:dyDescent="0.15">
      <c r="B1299" s="434"/>
      <c r="C1299" s="434"/>
    </row>
    <row r="1300" spans="2:3" x14ac:dyDescent="0.15">
      <c r="B1300" s="434"/>
      <c r="C1300" s="434"/>
    </row>
    <row r="1301" spans="2:3" x14ac:dyDescent="0.15">
      <c r="B1301" s="434"/>
      <c r="C1301" s="434"/>
    </row>
    <row r="1302" spans="2:3" x14ac:dyDescent="0.15">
      <c r="B1302" s="434"/>
      <c r="C1302" s="434"/>
    </row>
    <row r="1303" spans="2:3" x14ac:dyDescent="0.15">
      <c r="B1303" s="434"/>
      <c r="C1303" s="434"/>
    </row>
    <row r="1304" spans="2:3" x14ac:dyDescent="0.15">
      <c r="B1304" s="434"/>
      <c r="C1304" s="434"/>
    </row>
    <row r="1305" spans="2:3" x14ac:dyDescent="0.15">
      <c r="B1305" s="434"/>
      <c r="C1305" s="434"/>
    </row>
    <row r="1306" spans="2:3" x14ac:dyDescent="0.15">
      <c r="B1306" s="434"/>
      <c r="C1306" s="434"/>
    </row>
    <row r="1307" spans="2:3" x14ac:dyDescent="0.15">
      <c r="B1307" s="434"/>
      <c r="C1307" s="434"/>
    </row>
    <row r="1308" spans="2:3" x14ac:dyDescent="0.15">
      <c r="B1308" s="434"/>
      <c r="C1308" s="434"/>
    </row>
    <row r="1309" spans="2:3" x14ac:dyDescent="0.15">
      <c r="B1309" s="434"/>
      <c r="C1309" s="434"/>
    </row>
    <row r="1310" spans="2:3" x14ac:dyDescent="0.15">
      <c r="B1310" s="434"/>
      <c r="C1310" s="434"/>
    </row>
    <row r="1311" spans="2:3" x14ac:dyDescent="0.15">
      <c r="B1311" s="434"/>
      <c r="C1311" s="434"/>
    </row>
    <row r="1312" spans="2:3" x14ac:dyDescent="0.15">
      <c r="B1312" s="434"/>
      <c r="C1312" s="434"/>
    </row>
    <row r="1313" spans="2:3" x14ac:dyDescent="0.15">
      <c r="B1313" s="434"/>
      <c r="C1313" s="434"/>
    </row>
    <row r="1314" spans="2:3" x14ac:dyDescent="0.15">
      <c r="B1314" s="434"/>
      <c r="C1314" s="434"/>
    </row>
    <row r="1315" spans="2:3" x14ac:dyDescent="0.15">
      <c r="B1315" s="434"/>
      <c r="C1315" s="434"/>
    </row>
    <row r="1316" spans="2:3" x14ac:dyDescent="0.15">
      <c r="B1316" s="434"/>
      <c r="C1316" s="434"/>
    </row>
    <row r="1317" spans="2:3" x14ac:dyDescent="0.15">
      <c r="B1317" s="434"/>
      <c r="C1317" s="434"/>
    </row>
    <row r="1318" spans="2:3" x14ac:dyDescent="0.15">
      <c r="B1318" s="434"/>
      <c r="C1318" s="434"/>
    </row>
    <row r="1319" spans="2:3" x14ac:dyDescent="0.15">
      <c r="B1319" s="434"/>
      <c r="C1319" s="434"/>
    </row>
    <row r="1320" spans="2:3" x14ac:dyDescent="0.15">
      <c r="B1320" s="434"/>
      <c r="C1320" s="434"/>
    </row>
    <row r="1321" spans="2:3" x14ac:dyDescent="0.15">
      <c r="B1321" s="434"/>
      <c r="C1321" s="434"/>
    </row>
    <row r="1322" spans="2:3" x14ac:dyDescent="0.15">
      <c r="B1322" s="434"/>
      <c r="C1322" s="434"/>
    </row>
    <row r="1323" spans="2:3" x14ac:dyDescent="0.15">
      <c r="B1323" s="434"/>
      <c r="C1323" s="434"/>
    </row>
    <row r="1324" spans="2:3" x14ac:dyDescent="0.15">
      <c r="B1324" s="434"/>
      <c r="C1324" s="434"/>
    </row>
    <row r="1325" spans="2:3" x14ac:dyDescent="0.15">
      <c r="B1325" s="434"/>
      <c r="C1325" s="434"/>
    </row>
    <row r="1326" spans="2:3" x14ac:dyDescent="0.15">
      <c r="B1326" s="434"/>
      <c r="C1326" s="434"/>
    </row>
    <row r="1327" spans="2:3" x14ac:dyDescent="0.15">
      <c r="B1327" s="434"/>
      <c r="C1327" s="434"/>
    </row>
    <row r="1328" spans="2:3" x14ac:dyDescent="0.15">
      <c r="B1328" s="434"/>
      <c r="C1328" s="434"/>
    </row>
    <row r="1329" spans="2:3" x14ac:dyDescent="0.15">
      <c r="B1329" s="434"/>
      <c r="C1329" s="434"/>
    </row>
    <row r="1330" spans="2:3" x14ac:dyDescent="0.15">
      <c r="B1330" s="434"/>
      <c r="C1330" s="434"/>
    </row>
    <row r="1331" spans="2:3" x14ac:dyDescent="0.15">
      <c r="B1331" s="434"/>
      <c r="C1331" s="434"/>
    </row>
    <row r="1332" spans="2:3" x14ac:dyDescent="0.15">
      <c r="B1332" s="434"/>
      <c r="C1332" s="434"/>
    </row>
    <row r="1333" spans="2:3" x14ac:dyDescent="0.15">
      <c r="B1333" s="434"/>
      <c r="C1333" s="434"/>
    </row>
    <row r="1334" spans="2:3" x14ac:dyDescent="0.15">
      <c r="B1334" s="434"/>
      <c r="C1334" s="434"/>
    </row>
    <row r="1335" spans="2:3" x14ac:dyDescent="0.15">
      <c r="B1335" s="434"/>
      <c r="C1335" s="434"/>
    </row>
    <row r="1336" spans="2:3" x14ac:dyDescent="0.15">
      <c r="B1336" s="434"/>
      <c r="C1336" s="434"/>
    </row>
    <row r="1337" spans="2:3" x14ac:dyDescent="0.15">
      <c r="B1337" s="434"/>
      <c r="C1337" s="434"/>
    </row>
    <row r="1338" spans="2:3" x14ac:dyDescent="0.15">
      <c r="B1338" s="434"/>
      <c r="C1338" s="434"/>
    </row>
    <row r="1339" spans="2:3" x14ac:dyDescent="0.15">
      <c r="B1339" s="434"/>
      <c r="C1339" s="434"/>
    </row>
    <row r="1340" spans="2:3" x14ac:dyDescent="0.15">
      <c r="B1340" s="434"/>
      <c r="C1340" s="434"/>
    </row>
    <row r="1341" spans="2:3" x14ac:dyDescent="0.15">
      <c r="B1341" s="434"/>
      <c r="C1341" s="434"/>
    </row>
    <row r="1342" spans="2:3" x14ac:dyDescent="0.15">
      <c r="B1342" s="434"/>
      <c r="C1342" s="434"/>
    </row>
    <row r="1343" spans="2:3" x14ac:dyDescent="0.15">
      <c r="B1343" s="434"/>
      <c r="C1343" s="434"/>
    </row>
    <row r="1344" spans="2:3" x14ac:dyDescent="0.15">
      <c r="B1344" s="434"/>
      <c r="C1344" s="434"/>
    </row>
    <row r="1345" spans="2:3" x14ac:dyDescent="0.15">
      <c r="B1345" s="434"/>
      <c r="C1345" s="434"/>
    </row>
    <row r="1346" spans="2:3" x14ac:dyDescent="0.15">
      <c r="B1346" s="434"/>
      <c r="C1346" s="434"/>
    </row>
    <row r="1347" spans="2:3" x14ac:dyDescent="0.15">
      <c r="B1347" s="434"/>
      <c r="C1347" s="434"/>
    </row>
    <row r="1348" spans="2:3" x14ac:dyDescent="0.15">
      <c r="B1348" s="434"/>
      <c r="C1348" s="434"/>
    </row>
    <row r="1349" spans="2:3" x14ac:dyDescent="0.15">
      <c r="B1349" s="434"/>
      <c r="C1349" s="434"/>
    </row>
    <row r="1350" spans="2:3" x14ac:dyDescent="0.15">
      <c r="B1350" s="434"/>
      <c r="C1350" s="434"/>
    </row>
    <row r="1351" spans="2:3" x14ac:dyDescent="0.15">
      <c r="B1351" s="434"/>
      <c r="C1351" s="434"/>
    </row>
    <row r="1352" spans="2:3" x14ac:dyDescent="0.15">
      <c r="B1352" s="434"/>
      <c r="C1352" s="434"/>
    </row>
    <row r="1353" spans="2:3" x14ac:dyDescent="0.15">
      <c r="B1353" s="434"/>
      <c r="C1353" s="434"/>
    </row>
    <row r="1354" spans="2:3" x14ac:dyDescent="0.15">
      <c r="B1354" s="434"/>
      <c r="C1354" s="434"/>
    </row>
    <row r="1355" spans="2:3" x14ac:dyDescent="0.15">
      <c r="B1355" s="434"/>
      <c r="C1355" s="434"/>
    </row>
    <row r="1356" spans="2:3" x14ac:dyDescent="0.15">
      <c r="B1356" s="434"/>
      <c r="C1356" s="434"/>
    </row>
    <row r="1357" spans="2:3" x14ac:dyDescent="0.15">
      <c r="B1357" s="434"/>
      <c r="C1357" s="434"/>
    </row>
    <row r="1358" spans="2:3" x14ac:dyDescent="0.15">
      <c r="B1358" s="434"/>
      <c r="C1358" s="434"/>
    </row>
    <row r="1359" spans="2:3" x14ac:dyDescent="0.15">
      <c r="B1359" s="434"/>
      <c r="C1359" s="434"/>
    </row>
    <row r="1360" spans="2:3" x14ac:dyDescent="0.15">
      <c r="B1360" s="434"/>
      <c r="C1360" s="434"/>
    </row>
    <row r="1361" spans="2:3" x14ac:dyDescent="0.15">
      <c r="B1361" s="434"/>
      <c r="C1361" s="434"/>
    </row>
    <row r="1362" spans="2:3" x14ac:dyDescent="0.15">
      <c r="B1362" s="434"/>
      <c r="C1362" s="434"/>
    </row>
    <row r="1363" spans="2:3" x14ac:dyDescent="0.15">
      <c r="B1363" s="434"/>
      <c r="C1363" s="434"/>
    </row>
    <row r="1364" spans="2:3" x14ac:dyDescent="0.15">
      <c r="B1364" s="434"/>
      <c r="C1364" s="434"/>
    </row>
    <row r="1365" spans="2:3" x14ac:dyDescent="0.15">
      <c r="B1365" s="434"/>
      <c r="C1365" s="434"/>
    </row>
    <row r="1366" spans="2:3" x14ac:dyDescent="0.15">
      <c r="B1366" s="434"/>
      <c r="C1366" s="434"/>
    </row>
    <row r="1367" spans="2:3" x14ac:dyDescent="0.15">
      <c r="B1367" s="434"/>
      <c r="C1367" s="434"/>
    </row>
    <row r="1368" spans="2:3" x14ac:dyDescent="0.15">
      <c r="B1368" s="434"/>
      <c r="C1368" s="434"/>
    </row>
    <row r="1369" spans="2:3" x14ac:dyDescent="0.15">
      <c r="B1369" s="434"/>
      <c r="C1369" s="434"/>
    </row>
    <row r="1370" spans="2:3" x14ac:dyDescent="0.15">
      <c r="B1370" s="434"/>
      <c r="C1370" s="434"/>
    </row>
    <row r="1371" spans="2:3" x14ac:dyDescent="0.15">
      <c r="B1371" s="434"/>
      <c r="C1371" s="434"/>
    </row>
    <row r="1372" spans="2:3" x14ac:dyDescent="0.15">
      <c r="B1372" s="434"/>
      <c r="C1372" s="434"/>
    </row>
    <row r="1373" spans="2:3" x14ac:dyDescent="0.15">
      <c r="B1373" s="434"/>
      <c r="C1373" s="434"/>
    </row>
  </sheetData>
  <sheetProtection password="CB03" sheet="1" formatCells="0" formatColumns="0" formatRows="0"/>
  <phoneticPr fontId="15" type="noConversion"/>
  <pageMargins left="0.75" right="0.75" top="1" bottom="1" header="0.5" footer="0.5"/>
  <pageSetup scale="58" firstPageNumber="4" fitToHeight="0" orientation="portrait" horizontalDpi="300" verticalDpi="300" r:id="rId1"/>
  <headerFooter alignWithMargins="0">
    <oddFooter>&amp;LCDE, Public Scool Finance Unit&amp;C&amp;P&amp;RRevised  March, 2009</oddFooter>
  </headerFooter>
  <rowBreaks count="15" manualBreakCount="15">
    <brk id="81" max="8" man="1"/>
    <brk id="153" max="8" man="1"/>
    <brk id="224" max="8" man="1"/>
    <brk id="260" max="8" man="1"/>
    <brk id="332" max="8" man="1"/>
    <brk id="406" max="8" man="1"/>
    <brk id="480" max="8" man="1"/>
    <brk id="554" max="8" man="1"/>
    <brk id="628" max="8" man="1"/>
    <brk id="703" max="8" man="1"/>
    <brk id="777" max="8" man="1"/>
    <brk id="851" max="8" man="1"/>
    <brk id="925" max="8" man="1"/>
    <brk id="999" max="8" man="1"/>
    <brk id="107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5"/>
  <sheetViews>
    <sheetView topLeftCell="A508" zoomScaleNormal="100" workbookViewId="0">
      <selection activeCell="D5" sqref="D5"/>
    </sheetView>
  </sheetViews>
  <sheetFormatPr defaultRowHeight="10.5" customHeight="1" x14ac:dyDescent="0.15"/>
  <cols>
    <col min="1" max="1" width="4.83203125" style="158" customWidth="1"/>
    <col min="2" max="2" width="7.6640625" style="158" customWidth="1"/>
    <col min="3" max="3" width="70.83203125" style="158" customWidth="1"/>
    <col min="4" max="4" width="15.83203125" style="158" customWidth="1"/>
    <col min="5" max="5" width="14.1640625" style="158" bestFit="1" customWidth="1"/>
    <col min="6" max="6" width="14" style="158" bestFit="1" customWidth="1"/>
    <col min="7" max="7" width="15.83203125" style="158" customWidth="1"/>
    <col min="8" max="8" width="15.83203125" style="309" customWidth="1"/>
    <col min="9" max="9" width="19" style="309" customWidth="1"/>
    <col min="10" max="16384" width="9.33203125" style="158"/>
  </cols>
  <sheetData>
    <row r="1" spans="1:10" ht="10.5" customHeight="1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G1" s="38" t="s">
        <v>1588</v>
      </c>
      <c r="H1" s="313"/>
      <c r="I1" s="313"/>
    </row>
    <row r="2" spans="1:10" ht="12.75" x14ac:dyDescent="0.2">
      <c r="A2" s="207" t="s">
        <v>109</v>
      </c>
    </row>
    <row r="3" spans="1:10" ht="12.75" x14ac:dyDescent="0.2">
      <c r="A3" s="207"/>
    </row>
    <row r="4" spans="1:10" ht="42.75" x14ac:dyDescent="0.2">
      <c r="A4" s="207"/>
      <c r="D4" s="686" t="s">
        <v>1701</v>
      </c>
      <c r="E4" s="686" t="s">
        <v>1702</v>
      </c>
      <c r="F4" s="686" t="s">
        <v>1703</v>
      </c>
      <c r="G4" s="686" t="s">
        <v>1704</v>
      </c>
      <c r="H4" s="686" t="s">
        <v>1705</v>
      </c>
      <c r="I4" s="686" t="s">
        <v>1706</v>
      </c>
    </row>
    <row r="5" spans="1:10" ht="53.25" x14ac:dyDescent="0.2">
      <c r="A5" s="207"/>
      <c r="D5" s="166"/>
      <c r="E5" s="166"/>
      <c r="F5" s="166"/>
      <c r="G5" s="166"/>
      <c r="H5" s="314" t="s">
        <v>193</v>
      </c>
      <c r="I5" s="314" t="s">
        <v>192</v>
      </c>
    </row>
    <row r="6" spans="1:10" ht="12.75" x14ac:dyDescent="0.2">
      <c r="A6" s="207"/>
    </row>
    <row r="7" spans="1:10" ht="10.5" customHeight="1" x14ac:dyDescent="0.15">
      <c r="A7" s="40" t="s">
        <v>640</v>
      </c>
      <c r="D7" s="181"/>
      <c r="E7" s="181"/>
      <c r="F7" s="181"/>
      <c r="G7" s="181"/>
    </row>
    <row r="8" spans="1:10" s="182" customFormat="1" ht="10.5" customHeight="1" x14ac:dyDescent="0.15">
      <c r="B8" s="206" t="s">
        <v>739</v>
      </c>
      <c r="D8" s="146"/>
      <c r="E8" s="146"/>
      <c r="F8" s="146"/>
      <c r="G8" s="145"/>
      <c r="H8" s="310"/>
      <c r="I8" s="568"/>
    </row>
    <row r="9" spans="1:10" s="182" customFormat="1" ht="10.5" customHeight="1" x14ac:dyDescent="0.15">
      <c r="A9" s="148" t="s">
        <v>641</v>
      </c>
      <c r="B9" s="115"/>
      <c r="C9" s="115"/>
      <c r="D9" s="146"/>
      <c r="E9" s="146"/>
      <c r="F9" s="146"/>
      <c r="G9" s="145"/>
      <c r="H9" s="310"/>
      <c r="I9" s="568"/>
    </row>
    <row r="10" spans="1:10" s="309" customFormat="1" x14ac:dyDescent="0.15">
      <c r="B10" s="311" t="s">
        <v>1577</v>
      </c>
      <c r="C10" s="312" t="s">
        <v>228</v>
      </c>
      <c r="D10" s="316">
        <v>0</v>
      </c>
      <c r="E10" s="316">
        <v>0</v>
      </c>
      <c r="F10" s="316">
        <v>0</v>
      </c>
      <c r="G10" s="528">
        <f t="array" ref="G10">SUM(IF(CertFund&amp;CertProg&amp;CertObj=RIGHT(LEFT($A$2,7),2)&amp;LEFT(A9,4)&amp;B10,CertSalary))</f>
        <v>0</v>
      </c>
      <c r="H10" s="527">
        <v>0</v>
      </c>
      <c r="I10" s="566">
        <f>SUM(G10+H10)</f>
        <v>0</v>
      </c>
    </row>
    <row r="11" spans="1:10" s="309" customFormat="1" x14ac:dyDescent="0.15">
      <c r="B11" s="311" t="s">
        <v>1577</v>
      </c>
      <c r="C11" s="312" t="s">
        <v>510</v>
      </c>
      <c r="D11" s="316">
        <v>0</v>
      </c>
      <c r="E11" s="316">
        <v>0</v>
      </c>
      <c r="F11" s="316">
        <v>0</v>
      </c>
      <c r="G11" s="316">
        <v>0</v>
      </c>
      <c r="H11" s="527">
        <v>0</v>
      </c>
      <c r="I11" s="566">
        <f>SUM(G11+H11)</f>
        <v>0</v>
      </c>
    </row>
    <row r="12" spans="1:10" s="309" customFormat="1" x14ac:dyDescent="0.15">
      <c r="A12" s="312"/>
      <c r="B12" s="311" t="s">
        <v>1578</v>
      </c>
      <c r="C12" s="312" t="s">
        <v>936</v>
      </c>
      <c r="D12" s="316">
        <v>0</v>
      </c>
      <c r="E12" s="316">
        <v>0</v>
      </c>
      <c r="F12" s="316">
        <v>0</v>
      </c>
      <c r="G12" s="529">
        <f t="array" ref="G12">SUM(IF(CertFund&amp;CertProg&amp;CertObj=RIGHT(LEFT($A$2,7),2)&amp;LEFT(A9,4)&amp;B10,CertBen))</f>
        <v>0</v>
      </c>
      <c r="H12" s="527">
        <v>0</v>
      </c>
      <c r="I12" s="566">
        <f>SUM(G12+H12)</f>
        <v>0</v>
      </c>
    </row>
    <row r="13" spans="1:10" x14ac:dyDescent="0.15">
      <c r="A13" s="115"/>
      <c r="B13" s="152" t="s">
        <v>1578</v>
      </c>
      <c r="C13" s="115" t="s">
        <v>511</v>
      </c>
      <c r="D13" s="147">
        <v>0</v>
      </c>
      <c r="E13" s="147">
        <v>0</v>
      </c>
      <c r="F13" s="147">
        <v>0</v>
      </c>
      <c r="G13" s="147">
        <v>0</v>
      </c>
      <c r="H13" s="150">
        <v>0</v>
      </c>
      <c r="I13" s="567">
        <f>SUM(G13+H13)</f>
        <v>0</v>
      </c>
      <c r="J13" s="309"/>
    </row>
    <row r="14" spans="1:10" s="182" customFormat="1" ht="10.5" customHeight="1" x14ac:dyDescent="0.15">
      <c r="A14" s="148"/>
      <c r="B14" s="152" t="s">
        <v>1579</v>
      </c>
      <c r="C14" s="115" t="s">
        <v>118</v>
      </c>
      <c r="D14" s="147">
        <v>0</v>
      </c>
      <c r="E14" s="147">
        <v>0</v>
      </c>
      <c r="F14" s="147">
        <v>0</v>
      </c>
      <c r="G14" s="147">
        <v>0</v>
      </c>
      <c r="H14" s="315">
        <v>0</v>
      </c>
      <c r="I14" s="572">
        <f t="shared" ref="I14:I43" si="0">SUM(G14+H14)</f>
        <v>0</v>
      </c>
    </row>
    <row r="15" spans="1:10" s="182" customFormat="1" ht="10.5" customHeight="1" x14ac:dyDescent="0.15">
      <c r="A15" s="148"/>
      <c r="B15" s="152" t="s">
        <v>1580</v>
      </c>
      <c r="C15" s="115" t="s">
        <v>119</v>
      </c>
      <c r="D15" s="147">
        <v>0</v>
      </c>
      <c r="E15" s="147">
        <v>0</v>
      </c>
      <c r="F15" s="147">
        <v>0</v>
      </c>
      <c r="G15" s="147">
        <v>0</v>
      </c>
      <c r="H15" s="315">
        <v>0</v>
      </c>
      <c r="I15" s="572">
        <f t="shared" si="0"/>
        <v>0</v>
      </c>
    </row>
    <row r="16" spans="1:10" s="182" customFormat="1" ht="10.5" customHeight="1" x14ac:dyDescent="0.15">
      <c r="A16" s="148"/>
      <c r="B16" s="152" t="s">
        <v>120</v>
      </c>
      <c r="C16" s="115" t="s">
        <v>121</v>
      </c>
      <c r="D16" s="147">
        <v>0</v>
      </c>
      <c r="E16" s="147">
        <v>0</v>
      </c>
      <c r="F16" s="147">
        <v>0</v>
      </c>
      <c r="G16" s="147">
        <v>0</v>
      </c>
      <c r="H16" s="315">
        <v>0</v>
      </c>
      <c r="I16" s="572">
        <f t="shared" si="0"/>
        <v>0</v>
      </c>
    </row>
    <row r="17" spans="1:9" s="182" customFormat="1" ht="10.5" customHeight="1" x14ac:dyDescent="0.15">
      <c r="A17" s="148"/>
      <c r="B17" s="152" t="s">
        <v>122</v>
      </c>
      <c r="C17" s="115" t="s">
        <v>123</v>
      </c>
      <c r="D17" s="147">
        <v>0</v>
      </c>
      <c r="E17" s="147">
        <v>0</v>
      </c>
      <c r="F17" s="147">
        <v>0</v>
      </c>
      <c r="G17" s="147">
        <v>0</v>
      </c>
      <c r="H17" s="315">
        <v>0</v>
      </c>
      <c r="I17" s="572">
        <f t="shared" si="0"/>
        <v>0</v>
      </c>
    </row>
    <row r="18" spans="1:9" s="182" customFormat="1" ht="10.5" customHeight="1" x14ac:dyDescent="0.15">
      <c r="A18" s="148"/>
      <c r="B18" s="152" t="s">
        <v>1581</v>
      </c>
      <c r="C18" s="115" t="s">
        <v>124</v>
      </c>
      <c r="D18" s="147">
        <v>0</v>
      </c>
      <c r="E18" s="147">
        <v>0</v>
      </c>
      <c r="F18" s="147">
        <v>0</v>
      </c>
      <c r="G18" s="147">
        <v>0</v>
      </c>
      <c r="H18" s="315">
        <v>0</v>
      </c>
      <c r="I18" s="572">
        <f t="shared" si="0"/>
        <v>0</v>
      </c>
    </row>
    <row r="19" spans="1:9" s="182" customFormat="1" ht="10.5" customHeight="1" x14ac:dyDescent="0.15">
      <c r="A19" s="148"/>
      <c r="B19" s="152" t="s">
        <v>125</v>
      </c>
      <c r="C19" s="115" t="s">
        <v>133</v>
      </c>
      <c r="D19" s="147">
        <v>0</v>
      </c>
      <c r="E19" s="147">
        <v>0</v>
      </c>
      <c r="F19" s="147">
        <v>0</v>
      </c>
      <c r="G19" s="147">
        <v>0</v>
      </c>
      <c r="H19" s="315">
        <v>0</v>
      </c>
      <c r="I19" s="572">
        <f t="shared" si="0"/>
        <v>0</v>
      </c>
    </row>
    <row r="20" spans="1:9" s="182" customFormat="1" ht="10.5" customHeight="1" x14ac:dyDescent="0.15">
      <c r="A20" s="148"/>
      <c r="B20" s="152" t="s">
        <v>126</v>
      </c>
      <c r="C20" s="115" t="s">
        <v>187</v>
      </c>
      <c r="D20" s="147">
        <v>0</v>
      </c>
      <c r="E20" s="147">
        <v>0</v>
      </c>
      <c r="F20" s="147">
        <v>0</v>
      </c>
      <c r="G20" s="147">
        <v>0</v>
      </c>
      <c r="H20" s="315">
        <v>0</v>
      </c>
      <c r="I20" s="572">
        <f t="shared" si="0"/>
        <v>0</v>
      </c>
    </row>
    <row r="21" spans="1:9" s="182" customFormat="1" ht="10.5" customHeight="1" x14ac:dyDescent="0.15">
      <c r="A21" s="148"/>
      <c r="B21" s="152" t="s">
        <v>127</v>
      </c>
      <c r="C21" s="115" t="s">
        <v>134</v>
      </c>
      <c r="D21" s="147">
        <v>0</v>
      </c>
      <c r="E21" s="147">
        <v>0</v>
      </c>
      <c r="F21" s="147">
        <v>0</v>
      </c>
      <c r="G21" s="147">
        <v>0</v>
      </c>
      <c r="H21" s="315">
        <v>0</v>
      </c>
      <c r="I21" s="572">
        <f t="shared" si="0"/>
        <v>0</v>
      </c>
    </row>
    <row r="22" spans="1:9" s="182" customFormat="1" ht="10.5" customHeight="1" x14ac:dyDescent="0.15">
      <c r="A22" s="148"/>
      <c r="B22" s="152" t="s">
        <v>128</v>
      </c>
      <c r="C22" s="115" t="s">
        <v>135</v>
      </c>
      <c r="D22" s="147">
        <v>0</v>
      </c>
      <c r="E22" s="147">
        <v>0</v>
      </c>
      <c r="F22" s="147">
        <v>0</v>
      </c>
      <c r="G22" s="147">
        <v>0</v>
      </c>
      <c r="H22" s="315">
        <v>0</v>
      </c>
      <c r="I22" s="572">
        <f t="shared" si="0"/>
        <v>0</v>
      </c>
    </row>
    <row r="23" spans="1:9" s="182" customFormat="1" ht="10.5" customHeight="1" x14ac:dyDescent="0.15">
      <c r="A23" s="148"/>
      <c r="B23" s="152" t="s">
        <v>129</v>
      </c>
      <c r="C23" s="115" t="s">
        <v>136</v>
      </c>
      <c r="D23" s="147">
        <v>0</v>
      </c>
      <c r="E23" s="147">
        <v>0</v>
      </c>
      <c r="F23" s="147">
        <v>0</v>
      </c>
      <c r="G23" s="147">
        <v>0</v>
      </c>
      <c r="H23" s="315">
        <v>0</v>
      </c>
      <c r="I23" s="572">
        <f t="shared" si="0"/>
        <v>0</v>
      </c>
    </row>
    <row r="24" spans="1:9" s="182" customFormat="1" ht="10.5" customHeight="1" x14ac:dyDescent="0.15">
      <c r="A24" s="148"/>
      <c r="B24" s="152" t="s">
        <v>131</v>
      </c>
      <c r="C24" s="115" t="s">
        <v>137</v>
      </c>
      <c r="D24" s="147">
        <v>0</v>
      </c>
      <c r="E24" s="147">
        <v>0</v>
      </c>
      <c r="F24" s="147">
        <v>0</v>
      </c>
      <c r="G24" s="147">
        <v>0</v>
      </c>
      <c r="H24" s="315">
        <v>0</v>
      </c>
      <c r="I24" s="572">
        <f t="shared" si="0"/>
        <v>0</v>
      </c>
    </row>
    <row r="25" spans="1:9" s="182" customFormat="1" ht="10.5" customHeight="1" x14ac:dyDescent="0.15">
      <c r="A25" s="148"/>
      <c r="B25" s="152" t="s">
        <v>132</v>
      </c>
      <c r="C25" s="115" t="s">
        <v>1617</v>
      </c>
      <c r="D25" s="147">
        <v>0</v>
      </c>
      <c r="E25" s="147">
        <v>0</v>
      </c>
      <c r="F25" s="147">
        <v>0</v>
      </c>
      <c r="G25" s="147">
        <v>0</v>
      </c>
      <c r="H25" s="315">
        <v>0</v>
      </c>
      <c r="I25" s="572">
        <f t="shared" si="0"/>
        <v>0</v>
      </c>
    </row>
    <row r="26" spans="1:9" s="182" customFormat="1" ht="10.5" customHeight="1" x14ac:dyDescent="0.15">
      <c r="A26" s="148"/>
      <c r="B26" s="152" t="s">
        <v>1624</v>
      </c>
      <c r="C26" s="115" t="s">
        <v>840</v>
      </c>
      <c r="D26" s="147">
        <v>0</v>
      </c>
      <c r="E26" s="147">
        <v>0</v>
      </c>
      <c r="F26" s="147">
        <v>0</v>
      </c>
      <c r="G26" s="147">
        <v>0</v>
      </c>
      <c r="H26" s="315">
        <v>0</v>
      </c>
      <c r="I26" s="572">
        <f t="shared" si="0"/>
        <v>0</v>
      </c>
    </row>
    <row r="27" spans="1:9" s="182" customFormat="1" ht="10.5" customHeight="1" x14ac:dyDescent="0.15">
      <c r="A27" s="148"/>
      <c r="B27" s="152" t="s">
        <v>1625</v>
      </c>
      <c r="C27" s="115" t="s">
        <v>842</v>
      </c>
      <c r="D27" s="147">
        <v>0</v>
      </c>
      <c r="E27" s="147">
        <v>0</v>
      </c>
      <c r="F27" s="147">
        <v>0</v>
      </c>
      <c r="G27" s="147">
        <v>0</v>
      </c>
      <c r="H27" s="315">
        <v>0</v>
      </c>
      <c r="I27" s="572">
        <f t="shared" si="0"/>
        <v>0</v>
      </c>
    </row>
    <row r="28" spans="1:9" s="182" customFormat="1" ht="10.5" customHeight="1" x14ac:dyDescent="0.15">
      <c r="A28" s="148"/>
      <c r="B28" s="152" t="s">
        <v>843</v>
      </c>
      <c r="C28" s="115" t="s">
        <v>848</v>
      </c>
      <c r="D28" s="147">
        <v>0</v>
      </c>
      <c r="E28" s="147">
        <v>0</v>
      </c>
      <c r="F28" s="147">
        <v>0</v>
      </c>
      <c r="G28" s="147">
        <v>0</v>
      </c>
      <c r="H28" s="315">
        <v>0</v>
      </c>
      <c r="I28" s="572">
        <f t="shared" si="0"/>
        <v>0</v>
      </c>
    </row>
    <row r="29" spans="1:9" s="182" customFormat="1" ht="10.5" customHeight="1" x14ac:dyDescent="0.15">
      <c r="A29" s="148"/>
      <c r="B29" s="152" t="s">
        <v>844</v>
      </c>
      <c r="C29" s="115" t="s">
        <v>186</v>
      </c>
      <c r="D29" s="147">
        <v>0</v>
      </c>
      <c r="E29" s="147">
        <v>0</v>
      </c>
      <c r="F29" s="147">
        <v>0</v>
      </c>
      <c r="G29" s="147">
        <v>0</v>
      </c>
      <c r="H29" s="315">
        <v>0</v>
      </c>
      <c r="I29" s="572">
        <f t="shared" si="0"/>
        <v>0</v>
      </c>
    </row>
    <row r="30" spans="1:9" s="182" customFormat="1" ht="10.5" customHeight="1" x14ac:dyDescent="0.15">
      <c r="A30" s="148"/>
      <c r="B30" s="152" t="s">
        <v>845</v>
      </c>
      <c r="C30" s="115" t="s">
        <v>154</v>
      </c>
      <c r="D30" s="147">
        <v>0</v>
      </c>
      <c r="E30" s="147">
        <v>0</v>
      </c>
      <c r="F30" s="147">
        <v>0</v>
      </c>
      <c r="G30" s="147">
        <v>0</v>
      </c>
      <c r="H30" s="315">
        <v>0</v>
      </c>
      <c r="I30" s="572">
        <f t="shared" si="0"/>
        <v>0</v>
      </c>
    </row>
    <row r="31" spans="1:9" s="182" customFormat="1" ht="10.5" customHeight="1" x14ac:dyDescent="0.15">
      <c r="A31" s="148"/>
      <c r="B31" s="152" t="s">
        <v>846</v>
      </c>
      <c r="C31" s="115" t="s">
        <v>155</v>
      </c>
      <c r="D31" s="147">
        <v>0</v>
      </c>
      <c r="E31" s="147">
        <v>0</v>
      </c>
      <c r="F31" s="147">
        <v>0</v>
      </c>
      <c r="G31" s="147">
        <v>0</v>
      </c>
      <c r="H31" s="315">
        <v>0</v>
      </c>
      <c r="I31" s="572">
        <f t="shared" si="0"/>
        <v>0</v>
      </c>
    </row>
    <row r="32" spans="1:9" s="182" customFormat="1" ht="10.5" customHeight="1" x14ac:dyDescent="0.15">
      <c r="A32" s="148"/>
      <c r="B32" s="152" t="s">
        <v>1582</v>
      </c>
      <c r="C32" s="115" t="s">
        <v>156</v>
      </c>
      <c r="D32" s="147">
        <v>0</v>
      </c>
      <c r="E32" s="147">
        <v>0</v>
      </c>
      <c r="F32" s="147">
        <v>0</v>
      </c>
      <c r="G32" s="147">
        <v>0</v>
      </c>
      <c r="H32" s="315">
        <v>0</v>
      </c>
      <c r="I32" s="572">
        <f t="shared" si="0"/>
        <v>0</v>
      </c>
    </row>
    <row r="33" spans="1:9" s="182" customFormat="1" ht="10.5" customHeight="1" x14ac:dyDescent="0.15">
      <c r="A33" s="148"/>
      <c r="B33" s="152" t="s">
        <v>847</v>
      </c>
      <c r="C33" s="115" t="s">
        <v>157</v>
      </c>
      <c r="D33" s="147">
        <v>0</v>
      </c>
      <c r="E33" s="147">
        <v>0</v>
      </c>
      <c r="F33" s="147">
        <v>0</v>
      </c>
      <c r="G33" s="147">
        <v>0</v>
      </c>
      <c r="H33" s="315">
        <v>0</v>
      </c>
      <c r="I33" s="572">
        <f t="shared" si="0"/>
        <v>0</v>
      </c>
    </row>
    <row r="34" spans="1:9" s="182" customFormat="1" ht="10.5" customHeight="1" x14ac:dyDescent="0.15">
      <c r="A34" s="148"/>
      <c r="B34" s="152" t="s">
        <v>1583</v>
      </c>
      <c r="C34" s="115" t="s">
        <v>160</v>
      </c>
      <c r="D34" s="147">
        <v>0</v>
      </c>
      <c r="E34" s="147">
        <v>0</v>
      </c>
      <c r="F34" s="147">
        <v>0</v>
      </c>
      <c r="G34" s="147">
        <v>0</v>
      </c>
      <c r="H34" s="315">
        <v>0</v>
      </c>
      <c r="I34" s="572">
        <f t="shared" si="0"/>
        <v>0</v>
      </c>
    </row>
    <row r="35" spans="1:9" s="182" customFormat="1" ht="10.5" customHeight="1" x14ac:dyDescent="0.15">
      <c r="A35" s="148"/>
      <c r="B35" s="152" t="s">
        <v>634</v>
      </c>
      <c r="C35" s="115" t="s">
        <v>165</v>
      </c>
      <c r="D35" s="147">
        <v>0</v>
      </c>
      <c r="E35" s="147">
        <v>0</v>
      </c>
      <c r="F35" s="147">
        <v>0</v>
      </c>
      <c r="G35" s="147">
        <v>0</v>
      </c>
      <c r="H35" s="315">
        <v>0</v>
      </c>
      <c r="I35" s="572">
        <f t="shared" si="0"/>
        <v>0</v>
      </c>
    </row>
    <row r="36" spans="1:9" s="182" customFormat="1" ht="10.5" customHeight="1" x14ac:dyDescent="0.15">
      <c r="A36" s="148"/>
      <c r="B36" s="152" t="s">
        <v>630</v>
      </c>
      <c r="C36" s="115" t="s">
        <v>172</v>
      </c>
      <c r="D36" s="147">
        <v>0</v>
      </c>
      <c r="E36" s="147">
        <v>0</v>
      </c>
      <c r="F36" s="147">
        <v>0</v>
      </c>
      <c r="G36" s="147">
        <v>0</v>
      </c>
      <c r="H36" s="315">
        <v>0</v>
      </c>
      <c r="I36" s="572">
        <f t="shared" si="0"/>
        <v>0</v>
      </c>
    </row>
    <row r="37" spans="1:9" s="182" customFormat="1" ht="10.5" customHeight="1" x14ac:dyDescent="0.15">
      <c r="A37" s="148"/>
      <c r="B37" s="652" t="s">
        <v>631</v>
      </c>
      <c r="C37" s="653" t="s">
        <v>173</v>
      </c>
      <c r="D37" s="147">
        <v>0</v>
      </c>
      <c r="E37" s="147">
        <v>0</v>
      </c>
      <c r="F37" s="147">
        <v>0</v>
      </c>
      <c r="G37" s="147">
        <v>0</v>
      </c>
      <c r="H37" s="315">
        <v>0</v>
      </c>
      <c r="I37" s="572">
        <f t="shared" si="0"/>
        <v>0</v>
      </c>
    </row>
    <row r="38" spans="1:9" s="182" customFormat="1" ht="10.5" customHeight="1" x14ac:dyDescent="0.15">
      <c r="A38" s="148"/>
      <c r="B38" s="152" t="s">
        <v>1584</v>
      </c>
      <c r="C38" s="115" t="s">
        <v>178</v>
      </c>
      <c r="D38" s="147">
        <v>0</v>
      </c>
      <c r="E38" s="147">
        <v>0</v>
      </c>
      <c r="F38" s="147">
        <v>0</v>
      </c>
      <c r="G38" s="147">
        <v>0</v>
      </c>
      <c r="H38" s="315">
        <v>0</v>
      </c>
      <c r="I38" s="572">
        <f t="shared" si="0"/>
        <v>0</v>
      </c>
    </row>
    <row r="39" spans="1:9" s="182" customFormat="1" ht="10.5" customHeight="1" x14ac:dyDescent="0.15">
      <c r="A39" s="148"/>
      <c r="B39" s="152" t="s">
        <v>174</v>
      </c>
      <c r="C39" s="115" t="s">
        <v>179</v>
      </c>
      <c r="D39" s="147">
        <v>0</v>
      </c>
      <c r="E39" s="147">
        <v>0</v>
      </c>
      <c r="F39" s="147">
        <v>0</v>
      </c>
      <c r="G39" s="147">
        <v>0</v>
      </c>
      <c r="H39" s="315">
        <v>0</v>
      </c>
      <c r="I39" s="572">
        <f t="shared" si="0"/>
        <v>0</v>
      </c>
    </row>
    <row r="40" spans="1:9" s="182" customFormat="1" ht="10.5" customHeight="1" x14ac:dyDescent="0.15">
      <c r="A40" s="148"/>
      <c r="B40" s="152" t="s">
        <v>175</v>
      </c>
      <c r="C40" s="115" t="s">
        <v>180</v>
      </c>
      <c r="D40" s="147">
        <v>0</v>
      </c>
      <c r="E40" s="147">
        <v>0</v>
      </c>
      <c r="F40" s="147">
        <v>0</v>
      </c>
      <c r="G40" s="147">
        <v>0</v>
      </c>
      <c r="H40" s="315">
        <v>0</v>
      </c>
      <c r="I40" s="572">
        <f t="shared" si="0"/>
        <v>0</v>
      </c>
    </row>
    <row r="41" spans="1:9" s="182" customFormat="1" ht="10.5" customHeight="1" x14ac:dyDescent="0.15">
      <c r="A41" s="148"/>
      <c r="B41" s="152" t="s">
        <v>176</v>
      </c>
      <c r="C41" s="115" t="s">
        <v>181</v>
      </c>
      <c r="D41" s="147">
        <v>0</v>
      </c>
      <c r="E41" s="147">
        <v>0</v>
      </c>
      <c r="F41" s="147">
        <v>0</v>
      </c>
      <c r="G41" s="147">
        <v>0</v>
      </c>
      <c r="H41" s="315">
        <v>0</v>
      </c>
      <c r="I41" s="572">
        <f t="shared" si="0"/>
        <v>0</v>
      </c>
    </row>
    <row r="42" spans="1:9" s="182" customFormat="1" ht="10.5" customHeight="1" x14ac:dyDescent="0.15">
      <c r="A42" s="148"/>
      <c r="B42" s="152" t="s">
        <v>177</v>
      </c>
      <c r="C42" s="115" t="s">
        <v>182</v>
      </c>
      <c r="D42" s="147">
        <v>0</v>
      </c>
      <c r="E42" s="147">
        <v>0</v>
      </c>
      <c r="F42" s="147">
        <v>0</v>
      </c>
      <c r="G42" s="147">
        <v>0</v>
      </c>
      <c r="H42" s="315">
        <v>0</v>
      </c>
      <c r="I42" s="572">
        <f t="shared" si="0"/>
        <v>0</v>
      </c>
    </row>
    <row r="43" spans="1:9" s="182" customFormat="1" ht="10.5" customHeight="1" thickBot="1" x14ac:dyDescent="0.2">
      <c r="A43" s="148"/>
      <c r="B43" s="152" t="s">
        <v>632</v>
      </c>
      <c r="C43" s="115" t="s">
        <v>183</v>
      </c>
      <c r="D43" s="144">
        <v>0</v>
      </c>
      <c r="E43" s="144">
        <v>0</v>
      </c>
      <c r="F43" s="144">
        <v>0</v>
      </c>
      <c r="G43" s="144">
        <v>0</v>
      </c>
      <c r="H43" s="315">
        <v>0</v>
      </c>
      <c r="I43" s="572">
        <f t="shared" si="0"/>
        <v>0</v>
      </c>
    </row>
    <row r="44" spans="1:9" s="182" customFormat="1" ht="10.5" customHeight="1" thickTop="1" thickBot="1" x14ac:dyDescent="0.2">
      <c r="A44" s="148"/>
      <c r="B44" s="152"/>
      <c r="C44" s="115" t="s">
        <v>643</v>
      </c>
      <c r="D44" s="169">
        <f>SUM(D10:D43)</f>
        <v>0</v>
      </c>
      <c r="E44" s="169">
        <f>SUM(E10:E43)</f>
        <v>0</v>
      </c>
      <c r="F44" s="169">
        <f>SUM(F10:F43)</f>
        <v>0</v>
      </c>
      <c r="G44" s="169">
        <f>SUM(G10:G43)</f>
        <v>0</v>
      </c>
      <c r="H44" s="169">
        <f>SUM(H10:H43)</f>
        <v>0</v>
      </c>
      <c r="I44" s="304">
        <f>SUM(G44+H44)</f>
        <v>0</v>
      </c>
    </row>
    <row r="45" spans="1:9" s="182" customFormat="1" ht="10.5" customHeight="1" thickTop="1" x14ac:dyDescent="0.15">
      <c r="A45" s="148"/>
      <c r="B45" s="152"/>
      <c r="C45" s="115"/>
      <c r="D45" s="14"/>
      <c r="E45" s="14"/>
      <c r="F45" s="14"/>
      <c r="G45" s="14"/>
      <c r="H45" s="310"/>
      <c r="I45" s="568"/>
    </row>
    <row r="46" spans="1:9" ht="10.5" customHeight="1" x14ac:dyDescent="0.15">
      <c r="A46" s="35" t="s">
        <v>642</v>
      </c>
      <c r="D46" s="14"/>
      <c r="E46" s="14"/>
      <c r="F46" s="14"/>
      <c r="G46" s="14"/>
      <c r="H46" s="305"/>
      <c r="I46" s="305"/>
    </row>
    <row r="47" spans="1:9" s="309" customFormat="1" x14ac:dyDescent="0.15">
      <c r="B47" s="311" t="s">
        <v>1577</v>
      </c>
      <c r="C47" s="312" t="s">
        <v>228</v>
      </c>
      <c r="D47" s="316">
        <v>0</v>
      </c>
      <c r="E47" s="316">
        <v>0</v>
      </c>
      <c r="F47" s="316">
        <v>0</v>
      </c>
      <c r="G47" s="528">
        <f t="array" ref="G47">SUM(IF(CertFund&amp;CertProg&amp;CertObj=RIGHT(LEFT($A$2,7),2)&amp;LEFT(A46,4)&amp;B47,CertSalary))</f>
        <v>0</v>
      </c>
      <c r="H47" s="527">
        <v>0</v>
      </c>
      <c r="I47" s="566">
        <f>SUM(G47+H47)</f>
        <v>0</v>
      </c>
    </row>
    <row r="48" spans="1:9" s="309" customFormat="1" x14ac:dyDescent="0.15">
      <c r="B48" s="311" t="s">
        <v>1577</v>
      </c>
      <c r="C48" s="312" t="s">
        <v>510</v>
      </c>
      <c r="D48" s="316">
        <v>0</v>
      </c>
      <c r="E48" s="316">
        <v>0</v>
      </c>
      <c r="F48" s="316">
        <v>0</v>
      </c>
      <c r="G48" s="316">
        <v>0</v>
      </c>
      <c r="H48" s="527">
        <v>0</v>
      </c>
      <c r="I48" s="566">
        <f>SUM(G48+H48)</f>
        <v>0</v>
      </c>
    </row>
    <row r="49" spans="1:10" s="309" customFormat="1" x14ac:dyDescent="0.15">
      <c r="A49" s="312"/>
      <c r="B49" s="311" t="s">
        <v>1578</v>
      </c>
      <c r="C49" s="312" t="s">
        <v>936</v>
      </c>
      <c r="D49" s="316">
        <v>0</v>
      </c>
      <c r="E49" s="316">
        <v>0</v>
      </c>
      <c r="F49" s="316">
        <v>0</v>
      </c>
      <c r="G49" s="529">
        <f t="array" ref="G49">SUM(IF(CertFund&amp;CertProg&amp;CertObj=RIGHT(LEFT($A$2,7),2)&amp;LEFT(A46,4)&amp;B47,CertBen))</f>
        <v>0</v>
      </c>
      <c r="H49" s="527">
        <v>0</v>
      </c>
      <c r="I49" s="566">
        <f>SUM(G49+H49)</f>
        <v>0</v>
      </c>
    </row>
    <row r="50" spans="1:10" x14ac:dyDescent="0.15">
      <c r="A50" s="115"/>
      <c r="B50" s="152" t="s">
        <v>1578</v>
      </c>
      <c r="C50" s="115" t="s">
        <v>511</v>
      </c>
      <c r="D50" s="147">
        <v>0</v>
      </c>
      <c r="E50" s="147">
        <v>0</v>
      </c>
      <c r="F50" s="147">
        <v>0</v>
      </c>
      <c r="G50" s="147">
        <v>0</v>
      </c>
      <c r="H50" s="150">
        <v>0</v>
      </c>
      <c r="I50" s="567">
        <f>SUM(G50+H50)</f>
        <v>0</v>
      </c>
      <c r="J50" s="309"/>
    </row>
    <row r="51" spans="1:10" ht="10.5" customHeight="1" x14ac:dyDescent="0.15">
      <c r="A51" s="35"/>
      <c r="B51" s="152" t="s">
        <v>1579</v>
      </c>
      <c r="C51" s="115" t="s">
        <v>118</v>
      </c>
      <c r="D51" s="147">
        <v>0</v>
      </c>
      <c r="E51" s="147">
        <v>0</v>
      </c>
      <c r="F51" s="147">
        <v>0</v>
      </c>
      <c r="G51" s="147">
        <v>0</v>
      </c>
      <c r="H51" s="315">
        <v>0</v>
      </c>
      <c r="I51" s="572">
        <f t="shared" ref="I51:I80" si="1">SUM(G51+H51)</f>
        <v>0</v>
      </c>
    </row>
    <row r="52" spans="1:10" ht="10.5" customHeight="1" x14ac:dyDescent="0.15">
      <c r="A52" s="35"/>
      <c r="B52" s="152" t="s">
        <v>1580</v>
      </c>
      <c r="C52" s="115" t="s">
        <v>119</v>
      </c>
      <c r="D52" s="147">
        <v>0</v>
      </c>
      <c r="E52" s="147">
        <v>0</v>
      </c>
      <c r="F52" s="147">
        <v>0</v>
      </c>
      <c r="G52" s="147">
        <v>0</v>
      </c>
      <c r="H52" s="315">
        <v>0</v>
      </c>
      <c r="I52" s="572">
        <f t="shared" si="1"/>
        <v>0</v>
      </c>
    </row>
    <row r="53" spans="1:10" ht="10.5" customHeight="1" x14ac:dyDescent="0.15">
      <c r="A53" s="35"/>
      <c r="B53" s="152" t="s">
        <v>120</v>
      </c>
      <c r="C53" s="115" t="s">
        <v>121</v>
      </c>
      <c r="D53" s="147">
        <v>0</v>
      </c>
      <c r="E53" s="147">
        <v>0</v>
      </c>
      <c r="F53" s="147">
        <v>0</v>
      </c>
      <c r="G53" s="147">
        <v>0</v>
      </c>
      <c r="H53" s="315">
        <v>0</v>
      </c>
      <c r="I53" s="572">
        <f t="shared" si="1"/>
        <v>0</v>
      </c>
    </row>
    <row r="54" spans="1:10" ht="10.5" customHeight="1" x14ac:dyDescent="0.15">
      <c r="A54" s="35"/>
      <c r="B54" s="152" t="s">
        <v>122</v>
      </c>
      <c r="C54" s="115" t="s">
        <v>123</v>
      </c>
      <c r="D54" s="147">
        <v>0</v>
      </c>
      <c r="E54" s="147">
        <v>0</v>
      </c>
      <c r="F54" s="147">
        <v>0</v>
      </c>
      <c r="G54" s="147">
        <v>0</v>
      </c>
      <c r="H54" s="315">
        <v>0</v>
      </c>
      <c r="I54" s="572">
        <f t="shared" si="1"/>
        <v>0</v>
      </c>
    </row>
    <row r="55" spans="1:10" ht="10.5" customHeight="1" x14ac:dyDescent="0.15">
      <c r="A55" s="35"/>
      <c r="B55" s="152" t="s">
        <v>1581</v>
      </c>
      <c r="C55" s="115" t="s">
        <v>124</v>
      </c>
      <c r="D55" s="147">
        <v>0</v>
      </c>
      <c r="E55" s="147">
        <v>0</v>
      </c>
      <c r="F55" s="147">
        <v>0</v>
      </c>
      <c r="G55" s="147">
        <v>0</v>
      </c>
      <c r="H55" s="315">
        <v>0</v>
      </c>
      <c r="I55" s="572">
        <f t="shared" si="1"/>
        <v>0</v>
      </c>
    </row>
    <row r="56" spans="1:10" ht="10.5" customHeight="1" x14ac:dyDescent="0.15">
      <c r="A56" s="35"/>
      <c r="B56" s="152" t="s">
        <v>125</v>
      </c>
      <c r="C56" s="115" t="s">
        <v>133</v>
      </c>
      <c r="D56" s="147">
        <v>0</v>
      </c>
      <c r="E56" s="147">
        <v>0</v>
      </c>
      <c r="F56" s="147">
        <v>0</v>
      </c>
      <c r="G56" s="147">
        <v>0</v>
      </c>
      <c r="H56" s="315">
        <v>0</v>
      </c>
      <c r="I56" s="572">
        <f t="shared" si="1"/>
        <v>0</v>
      </c>
    </row>
    <row r="57" spans="1:10" ht="10.5" customHeight="1" x14ac:dyDescent="0.15">
      <c r="A57" s="35"/>
      <c r="B57" s="152" t="s">
        <v>126</v>
      </c>
      <c r="C57" s="115" t="s">
        <v>187</v>
      </c>
      <c r="D57" s="147">
        <v>0</v>
      </c>
      <c r="E57" s="147">
        <v>0</v>
      </c>
      <c r="F57" s="147">
        <v>0</v>
      </c>
      <c r="G57" s="147">
        <v>0</v>
      </c>
      <c r="H57" s="315">
        <v>0</v>
      </c>
      <c r="I57" s="572">
        <f t="shared" si="1"/>
        <v>0</v>
      </c>
    </row>
    <row r="58" spans="1:10" ht="10.5" customHeight="1" x14ac:dyDescent="0.15">
      <c r="A58" s="35"/>
      <c r="B58" s="152" t="s">
        <v>127</v>
      </c>
      <c r="C58" s="115" t="s">
        <v>134</v>
      </c>
      <c r="D58" s="147">
        <v>0</v>
      </c>
      <c r="E58" s="147">
        <v>0</v>
      </c>
      <c r="F58" s="147">
        <v>0</v>
      </c>
      <c r="G58" s="147">
        <v>0</v>
      </c>
      <c r="H58" s="315">
        <v>0</v>
      </c>
      <c r="I58" s="572">
        <f t="shared" si="1"/>
        <v>0</v>
      </c>
    </row>
    <row r="59" spans="1:10" ht="10.5" customHeight="1" x14ac:dyDescent="0.15">
      <c r="A59" s="35"/>
      <c r="B59" s="152" t="s">
        <v>128</v>
      </c>
      <c r="C59" s="115" t="s">
        <v>135</v>
      </c>
      <c r="D59" s="147">
        <v>0</v>
      </c>
      <c r="E59" s="147">
        <v>0</v>
      </c>
      <c r="F59" s="147">
        <v>0</v>
      </c>
      <c r="G59" s="147">
        <v>0</v>
      </c>
      <c r="H59" s="315">
        <v>0</v>
      </c>
      <c r="I59" s="572">
        <f t="shared" si="1"/>
        <v>0</v>
      </c>
    </row>
    <row r="60" spans="1:10" ht="10.5" customHeight="1" x14ac:dyDescent="0.15">
      <c r="A60" s="35"/>
      <c r="B60" s="152" t="s">
        <v>129</v>
      </c>
      <c r="C60" s="115" t="s">
        <v>136</v>
      </c>
      <c r="D60" s="147">
        <v>0</v>
      </c>
      <c r="E60" s="147">
        <v>0</v>
      </c>
      <c r="F60" s="147">
        <v>0</v>
      </c>
      <c r="G60" s="147">
        <v>0</v>
      </c>
      <c r="H60" s="315">
        <v>0</v>
      </c>
      <c r="I60" s="572">
        <f t="shared" si="1"/>
        <v>0</v>
      </c>
    </row>
    <row r="61" spans="1:10" ht="10.5" customHeight="1" x14ac:dyDescent="0.15">
      <c r="A61" s="35"/>
      <c r="B61" s="152" t="s">
        <v>131</v>
      </c>
      <c r="C61" s="115" t="s">
        <v>137</v>
      </c>
      <c r="D61" s="147">
        <v>0</v>
      </c>
      <c r="E61" s="147">
        <v>0</v>
      </c>
      <c r="F61" s="147">
        <v>0</v>
      </c>
      <c r="G61" s="147">
        <v>0</v>
      </c>
      <c r="H61" s="315">
        <v>0</v>
      </c>
      <c r="I61" s="572">
        <f t="shared" si="1"/>
        <v>0</v>
      </c>
    </row>
    <row r="62" spans="1:10" ht="10.5" customHeight="1" x14ac:dyDescent="0.15">
      <c r="A62" s="35"/>
      <c r="B62" s="152" t="s">
        <v>132</v>
      </c>
      <c r="C62" s="115" t="s">
        <v>1617</v>
      </c>
      <c r="D62" s="147">
        <v>0</v>
      </c>
      <c r="E62" s="147">
        <v>0</v>
      </c>
      <c r="F62" s="147">
        <v>0</v>
      </c>
      <c r="G62" s="147">
        <v>0</v>
      </c>
      <c r="H62" s="315">
        <v>0</v>
      </c>
      <c r="I62" s="572">
        <f t="shared" si="1"/>
        <v>0</v>
      </c>
    </row>
    <row r="63" spans="1:10" ht="10.5" customHeight="1" x14ac:dyDescent="0.15">
      <c r="A63" s="35"/>
      <c r="B63" s="152" t="s">
        <v>1624</v>
      </c>
      <c r="C63" s="115" t="s">
        <v>840</v>
      </c>
      <c r="D63" s="147">
        <v>0</v>
      </c>
      <c r="E63" s="147">
        <v>0</v>
      </c>
      <c r="F63" s="147">
        <v>0</v>
      </c>
      <c r="G63" s="147">
        <v>0</v>
      </c>
      <c r="H63" s="315">
        <v>0</v>
      </c>
      <c r="I63" s="572">
        <f t="shared" si="1"/>
        <v>0</v>
      </c>
    </row>
    <row r="64" spans="1:10" ht="10.5" customHeight="1" x14ac:dyDescent="0.15">
      <c r="A64" s="35"/>
      <c r="B64" s="152" t="s">
        <v>1625</v>
      </c>
      <c r="C64" s="115" t="s">
        <v>842</v>
      </c>
      <c r="D64" s="147">
        <v>0</v>
      </c>
      <c r="E64" s="147">
        <v>0</v>
      </c>
      <c r="F64" s="147">
        <v>0</v>
      </c>
      <c r="G64" s="147">
        <v>0</v>
      </c>
      <c r="H64" s="315">
        <v>0</v>
      </c>
      <c r="I64" s="572">
        <f t="shared" si="1"/>
        <v>0</v>
      </c>
    </row>
    <row r="65" spans="1:9" ht="10.5" customHeight="1" x14ac:dyDescent="0.15">
      <c r="A65" s="35"/>
      <c r="B65" s="152" t="s">
        <v>843</v>
      </c>
      <c r="C65" s="115" t="s">
        <v>848</v>
      </c>
      <c r="D65" s="147">
        <v>0</v>
      </c>
      <c r="E65" s="147">
        <v>0</v>
      </c>
      <c r="F65" s="147">
        <v>0</v>
      </c>
      <c r="G65" s="147">
        <v>0</v>
      </c>
      <c r="H65" s="315">
        <v>0</v>
      </c>
      <c r="I65" s="572">
        <f t="shared" si="1"/>
        <v>0</v>
      </c>
    </row>
    <row r="66" spans="1:9" ht="10.5" customHeight="1" x14ac:dyDescent="0.15">
      <c r="A66" s="35"/>
      <c r="B66" s="152" t="s">
        <v>844</v>
      </c>
      <c r="C66" s="115" t="s">
        <v>186</v>
      </c>
      <c r="D66" s="147">
        <v>0</v>
      </c>
      <c r="E66" s="147">
        <v>0</v>
      </c>
      <c r="F66" s="147">
        <v>0</v>
      </c>
      <c r="G66" s="147">
        <v>0</v>
      </c>
      <c r="H66" s="315">
        <v>0</v>
      </c>
      <c r="I66" s="572">
        <f t="shared" si="1"/>
        <v>0</v>
      </c>
    </row>
    <row r="67" spans="1:9" ht="10.5" customHeight="1" x14ac:dyDescent="0.15">
      <c r="A67" s="35"/>
      <c r="B67" s="152" t="s">
        <v>845</v>
      </c>
      <c r="C67" s="115" t="s">
        <v>154</v>
      </c>
      <c r="D67" s="147">
        <v>0</v>
      </c>
      <c r="E67" s="147">
        <v>0</v>
      </c>
      <c r="F67" s="147">
        <v>0</v>
      </c>
      <c r="G67" s="147">
        <v>0</v>
      </c>
      <c r="H67" s="315">
        <v>0</v>
      </c>
      <c r="I67" s="572">
        <f t="shared" si="1"/>
        <v>0</v>
      </c>
    </row>
    <row r="68" spans="1:9" ht="10.5" customHeight="1" x14ac:dyDescent="0.15">
      <c r="A68" s="35"/>
      <c r="B68" s="152" t="s">
        <v>846</v>
      </c>
      <c r="C68" s="115" t="s">
        <v>155</v>
      </c>
      <c r="D68" s="147">
        <v>0</v>
      </c>
      <c r="E68" s="147">
        <v>0</v>
      </c>
      <c r="F68" s="147">
        <v>0</v>
      </c>
      <c r="G68" s="147">
        <v>0</v>
      </c>
      <c r="H68" s="315">
        <v>0</v>
      </c>
      <c r="I68" s="572">
        <f t="shared" si="1"/>
        <v>0</v>
      </c>
    </row>
    <row r="69" spans="1:9" ht="10.5" customHeight="1" x14ac:dyDescent="0.15">
      <c r="A69" s="35"/>
      <c r="B69" s="152" t="s">
        <v>1582</v>
      </c>
      <c r="C69" s="115" t="s">
        <v>156</v>
      </c>
      <c r="D69" s="147">
        <v>0</v>
      </c>
      <c r="E69" s="147">
        <v>0</v>
      </c>
      <c r="F69" s="147">
        <v>0</v>
      </c>
      <c r="G69" s="147">
        <v>0</v>
      </c>
      <c r="H69" s="315">
        <v>0</v>
      </c>
      <c r="I69" s="572">
        <f t="shared" si="1"/>
        <v>0</v>
      </c>
    </row>
    <row r="70" spans="1:9" ht="10.5" customHeight="1" x14ac:dyDescent="0.15">
      <c r="A70" s="35"/>
      <c r="B70" s="152" t="s">
        <v>847</v>
      </c>
      <c r="C70" s="115" t="s">
        <v>157</v>
      </c>
      <c r="D70" s="147">
        <v>0</v>
      </c>
      <c r="E70" s="147">
        <v>0</v>
      </c>
      <c r="F70" s="147">
        <v>0</v>
      </c>
      <c r="G70" s="147">
        <v>0</v>
      </c>
      <c r="H70" s="315">
        <v>0</v>
      </c>
      <c r="I70" s="572">
        <f t="shared" si="1"/>
        <v>0</v>
      </c>
    </row>
    <row r="71" spans="1:9" ht="10.5" customHeight="1" x14ac:dyDescent="0.15">
      <c r="A71" s="35"/>
      <c r="B71" s="152" t="s">
        <v>1583</v>
      </c>
      <c r="C71" s="115" t="s">
        <v>160</v>
      </c>
      <c r="D71" s="147">
        <v>0</v>
      </c>
      <c r="E71" s="147">
        <v>0</v>
      </c>
      <c r="F71" s="147">
        <v>0</v>
      </c>
      <c r="G71" s="147">
        <v>0</v>
      </c>
      <c r="H71" s="315">
        <v>0</v>
      </c>
      <c r="I71" s="572">
        <f t="shared" si="1"/>
        <v>0</v>
      </c>
    </row>
    <row r="72" spans="1:9" ht="10.5" customHeight="1" x14ac:dyDescent="0.15">
      <c r="A72" s="35"/>
      <c r="B72" s="152" t="s">
        <v>634</v>
      </c>
      <c r="C72" s="115" t="s">
        <v>165</v>
      </c>
      <c r="D72" s="147">
        <v>0</v>
      </c>
      <c r="E72" s="147">
        <v>0</v>
      </c>
      <c r="F72" s="147">
        <v>0</v>
      </c>
      <c r="G72" s="147">
        <v>0</v>
      </c>
      <c r="H72" s="315">
        <v>0</v>
      </c>
      <c r="I72" s="572">
        <f t="shared" si="1"/>
        <v>0</v>
      </c>
    </row>
    <row r="73" spans="1:9" ht="10.5" customHeight="1" x14ac:dyDescent="0.15">
      <c r="A73" s="35"/>
      <c r="B73" s="152" t="s">
        <v>630</v>
      </c>
      <c r="C73" s="115" t="s">
        <v>172</v>
      </c>
      <c r="D73" s="147">
        <v>0</v>
      </c>
      <c r="E73" s="147">
        <v>0</v>
      </c>
      <c r="F73" s="147">
        <v>0</v>
      </c>
      <c r="G73" s="147">
        <v>0</v>
      </c>
      <c r="H73" s="315">
        <v>0</v>
      </c>
      <c r="I73" s="572">
        <f t="shared" si="1"/>
        <v>0</v>
      </c>
    </row>
    <row r="74" spans="1:9" ht="10.5" customHeight="1" x14ac:dyDescent="0.15">
      <c r="A74" s="35"/>
      <c r="B74" s="652" t="s">
        <v>631</v>
      </c>
      <c r="C74" s="653" t="s">
        <v>173</v>
      </c>
      <c r="D74" s="147">
        <v>0</v>
      </c>
      <c r="E74" s="147">
        <v>0</v>
      </c>
      <c r="F74" s="147">
        <v>0</v>
      </c>
      <c r="G74" s="147">
        <v>0</v>
      </c>
      <c r="H74" s="315">
        <v>0</v>
      </c>
      <c r="I74" s="572">
        <f t="shared" si="1"/>
        <v>0</v>
      </c>
    </row>
    <row r="75" spans="1:9" ht="10.5" customHeight="1" x14ac:dyDescent="0.15">
      <c r="A75" s="35"/>
      <c r="B75" s="152" t="s">
        <v>1584</v>
      </c>
      <c r="C75" s="115" t="s">
        <v>178</v>
      </c>
      <c r="D75" s="147">
        <v>0</v>
      </c>
      <c r="E75" s="147">
        <v>0</v>
      </c>
      <c r="F75" s="147">
        <v>0</v>
      </c>
      <c r="G75" s="147">
        <v>0</v>
      </c>
      <c r="H75" s="315">
        <v>0</v>
      </c>
      <c r="I75" s="572">
        <f t="shared" si="1"/>
        <v>0</v>
      </c>
    </row>
    <row r="76" spans="1:9" ht="10.5" customHeight="1" x14ac:dyDescent="0.15">
      <c r="A76" s="35"/>
      <c r="B76" s="152" t="s">
        <v>174</v>
      </c>
      <c r="C76" s="115" t="s">
        <v>179</v>
      </c>
      <c r="D76" s="147">
        <v>0</v>
      </c>
      <c r="E76" s="147">
        <v>0</v>
      </c>
      <c r="F76" s="147">
        <v>0</v>
      </c>
      <c r="G76" s="147">
        <v>0</v>
      </c>
      <c r="H76" s="315">
        <v>0</v>
      </c>
      <c r="I76" s="572">
        <f t="shared" si="1"/>
        <v>0</v>
      </c>
    </row>
    <row r="77" spans="1:9" ht="10.5" customHeight="1" x14ac:dyDescent="0.15">
      <c r="A77" s="35"/>
      <c r="B77" s="152" t="s">
        <v>175</v>
      </c>
      <c r="C77" s="115" t="s">
        <v>180</v>
      </c>
      <c r="D77" s="147">
        <v>0</v>
      </c>
      <c r="E77" s="147">
        <v>0</v>
      </c>
      <c r="F77" s="147">
        <v>0</v>
      </c>
      <c r="G77" s="147">
        <v>0</v>
      </c>
      <c r="H77" s="315">
        <v>0</v>
      </c>
      <c r="I77" s="572">
        <f t="shared" si="1"/>
        <v>0</v>
      </c>
    </row>
    <row r="78" spans="1:9" ht="10.5" customHeight="1" x14ac:dyDescent="0.15">
      <c r="A78" s="35"/>
      <c r="B78" s="152" t="s">
        <v>176</v>
      </c>
      <c r="C78" s="115" t="s">
        <v>181</v>
      </c>
      <c r="D78" s="147">
        <v>0</v>
      </c>
      <c r="E78" s="147">
        <v>0</v>
      </c>
      <c r="F78" s="147">
        <v>0</v>
      </c>
      <c r="G78" s="147">
        <v>0</v>
      </c>
      <c r="H78" s="315">
        <v>0</v>
      </c>
      <c r="I78" s="572">
        <f t="shared" si="1"/>
        <v>0</v>
      </c>
    </row>
    <row r="79" spans="1:9" ht="10.5" customHeight="1" x14ac:dyDescent="0.15">
      <c r="A79" s="35"/>
      <c r="B79" s="152" t="s">
        <v>177</v>
      </c>
      <c r="C79" s="115" t="s">
        <v>182</v>
      </c>
      <c r="D79" s="147">
        <v>0</v>
      </c>
      <c r="E79" s="147">
        <v>0</v>
      </c>
      <c r="F79" s="147">
        <v>0</v>
      </c>
      <c r="G79" s="147">
        <v>0</v>
      </c>
      <c r="H79" s="315">
        <v>0</v>
      </c>
      <c r="I79" s="572">
        <f t="shared" si="1"/>
        <v>0</v>
      </c>
    </row>
    <row r="80" spans="1:9" ht="10.5" customHeight="1" thickBot="1" x14ac:dyDescent="0.2">
      <c r="A80" s="35"/>
      <c r="B80" s="152" t="s">
        <v>632</v>
      </c>
      <c r="C80" s="115" t="s">
        <v>183</v>
      </c>
      <c r="D80" s="144">
        <v>0</v>
      </c>
      <c r="E80" s="144">
        <v>0</v>
      </c>
      <c r="F80" s="144">
        <v>0</v>
      </c>
      <c r="G80" s="144">
        <v>0</v>
      </c>
      <c r="H80" s="315">
        <v>0</v>
      </c>
      <c r="I80" s="572">
        <f t="shared" si="1"/>
        <v>0</v>
      </c>
    </row>
    <row r="81" spans="1:10" ht="10.5" customHeight="1" thickTop="1" thickBot="1" x14ac:dyDescent="0.2">
      <c r="A81" s="35"/>
      <c r="B81" s="152"/>
      <c r="C81" s="115" t="s">
        <v>644</v>
      </c>
      <c r="D81" s="169">
        <f>SUM(D47:D80)</f>
        <v>0</v>
      </c>
      <c r="E81" s="169">
        <f>SUM(E47:E80)</f>
        <v>0</v>
      </c>
      <c r="F81" s="169">
        <f>SUM(F47:F80)</f>
        <v>0</v>
      </c>
      <c r="G81" s="169">
        <f>SUM(G47:G80)</f>
        <v>0</v>
      </c>
      <c r="H81" s="169">
        <f>SUM(H47:H80)</f>
        <v>0</v>
      </c>
      <c r="I81" s="304">
        <f>SUM(G81+H81)</f>
        <v>0</v>
      </c>
    </row>
    <row r="82" spans="1:10" ht="10.5" customHeight="1" thickTop="1" x14ac:dyDescent="0.15">
      <c r="A82" s="35"/>
      <c r="B82" s="152"/>
      <c r="C82" s="115"/>
      <c r="D82" s="14"/>
      <c r="E82" s="14"/>
      <c r="F82" s="14"/>
      <c r="G82" s="14"/>
      <c r="H82" s="305"/>
      <c r="I82" s="305"/>
    </row>
    <row r="83" spans="1:10" ht="10.5" customHeight="1" x14ac:dyDescent="0.15">
      <c r="A83" s="35" t="s">
        <v>262</v>
      </c>
      <c r="D83" s="14"/>
      <c r="E83" s="14"/>
      <c r="F83" s="14"/>
      <c r="G83" s="14"/>
      <c r="H83" s="305"/>
      <c r="I83" s="305"/>
    </row>
    <row r="84" spans="1:10" s="309" customFormat="1" x14ac:dyDescent="0.15">
      <c r="B84" s="311" t="s">
        <v>1577</v>
      </c>
      <c r="C84" s="312" t="s">
        <v>228</v>
      </c>
      <c r="D84" s="316">
        <v>0</v>
      </c>
      <c r="E84" s="316">
        <v>0</v>
      </c>
      <c r="F84" s="316">
        <v>0</v>
      </c>
      <c r="G84" s="528">
        <f t="array" ref="G84">SUM(IF(CertFund&amp;CertProg&amp;CertObj=RIGHT(LEFT($A$2,7),2)&amp;LEFT(A83,4)&amp;B84,CertSalary))</f>
        <v>0</v>
      </c>
      <c r="H84" s="527">
        <v>0</v>
      </c>
      <c r="I84" s="566">
        <f>SUM(G84+H84)</f>
        <v>0</v>
      </c>
    </row>
    <row r="85" spans="1:10" s="309" customFormat="1" x14ac:dyDescent="0.15">
      <c r="B85" s="311" t="s">
        <v>1577</v>
      </c>
      <c r="C85" s="312" t="s">
        <v>510</v>
      </c>
      <c r="D85" s="316">
        <v>0</v>
      </c>
      <c r="E85" s="316">
        <v>0</v>
      </c>
      <c r="F85" s="316">
        <v>0</v>
      </c>
      <c r="G85" s="316">
        <v>0</v>
      </c>
      <c r="H85" s="527">
        <v>0</v>
      </c>
      <c r="I85" s="566">
        <f>SUM(G85+H85)</f>
        <v>0</v>
      </c>
    </row>
    <row r="86" spans="1:10" s="309" customFormat="1" x14ac:dyDescent="0.15">
      <c r="A86" s="312"/>
      <c r="B86" s="311" t="s">
        <v>1578</v>
      </c>
      <c r="C86" s="312" t="s">
        <v>936</v>
      </c>
      <c r="D86" s="316">
        <v>0</v>
      </c>
      <c r="E86" s="316">
        <v>0</v>
      </c>
      <c r="F86" s="316">
        <v>0</v>
      </c>
      <c r="G86" s="529">
        <f t="array" ref="G86">SUM(IF(CertFund&amp;CertProg&amp;CertObj=RIGHT(LEFT($A$2,7),2)&amp;LEFT(A83,4)&amp;B84,CertBen))</f>
        <v>0</v>
      </c>
      <c r="H86" s="527">
        <v>0</v>
      </c>
      <c r="I86" s="566">
        <f>SUM(G86+H86)</f>
        <v>0</v>
      </c>
    </row>
    <row r="87" spans="1:10" x14ac:dyDescent="0.15">
      <c r="A87" s="115"/>
      <c r="B87" s="152" t="s">
        <v>1578</v>
      </c>
      <c r="C87" s="115" t="s">
        <v>511</v>
      </c>
      <c r="D87" s="147">
        <v>0</v>
      </c>
      <c r="E87" s="147">
        <v>0</v>
      </c>
      <c r="F87" s="147">
        <v>0</v>
      </c>
      <c r="G87" s="147">
        <v>0</v>
      </c>
      <c r="H87" s="150">
        <v>0</v>
      </c>
      <c r="I87" s="567">
        <f>SUM(G87+H87)</f>
        <v>0</v>
      </c>
      <c r="J87" s="309"/>
    </row>
    <row r="88" spans="1:10" ht="10.5" customHeight="1" x14ac:dyDescent="0.15">
      <c r="A88" s="35"/>
      <c r="B88" s="152" t="s">
        <v>1579</v>
      </c>
      <c r="C88" s="115" t="s">
        <v>118</v>
      </c>
      <c r="D88" s="147">
        <v>0</v>
      </c>
      <c r="E88" s="147">
        <v>0</v>
      </c>
      <c r="F88" s="147">
        <v>0</v>
      </c>
      <c r="G88" s="147">
        <v>0</v>
      </c>
      <c r="H88" s="315">
        <v>0</v>
      </c>
      <c r="I88" s="572">
        <f t="shared" ref="I88:I117" si="2">SUM(G88+H88)</f>
        <v>0</v>
      </c>
    </row>
    <row r="89" spans="1:10" ht="10.5" customHeight="1" x14ac:dyDescent="0.15">
      <c r="A89" s="35"/>
      <c r="B89" s="152" t="s">
        <v>1580</v>
      </c>
      <c r="C89" s="115" t="s">
        <v>119</v>
      </c>
      <c r="D89" s="147">
        <v>0</v>
      </c>
      <c r="E89" s="147">
        <v>0</v>
      </c>
      <c r="F89" s="147">
        <v>0</v>
      </c>
      <c r="G89" s="147">
        <v>0</v>
      </c>
      <c r="H89" s="315">
        <v>0</v>
      </c>
      <c r="I89" s="572">
        <f t="shared" si="2"/>
        <v>0</v>
      </c>
    </row>
    <row r="90" spans="1:10" ht="10.5" customHeight="1" x14ac:dyDescent="0.15">
      <c r="A90" s="35"/>
      <c r="B90" s="152" t="s">
        <v>120</v>
      </c>
      <c r="C90" s="115" t="s">
        <v>121</v>
      </c>
      <c r="D90" s="147">
        <v>0</v>
      </c>
      <c r="E90" s="147">
        <v>0</v>
      </c>
      <c r="F90" s="147">
        <v>0</v>
      </c>
      <c r="G90" s="147">
        <v>0</v>
      </c>
      <c r="H90" s="315">
        <v>0</v>
      </c>
      <c r="I90" s="572">
        <f t="shared" si="2"/>
        <v>0</v>
      </c>
    </row>
    <row r="91" spans="1:10" ht="10.5" customHeight="1" x14ac:dyDescent="0.15">
      <c r="A91" s="35"/>
      <c r="B91" s="152" t="s">
        <v>122</v>
      </c>
      <c r="C91" s="115" t="s">
        <v>123</v>
      </c>
      <c r="D91" s="147">
        <v>0</v>
      </c>
      <c r="E91" s="147">
        <v>0</v>
      </c>
      <c r="F91" s="147">
        <v>0</v>
      </c>
      <c r="G91" s="147">
        <v>0</v>
      </c>
      <c r="H91" s="315">
        <v>0</v>
      </c>
      <c r="I91" s="572">
        <f t="shared" si="2"/>
        <v>0</v>
      </c>
    </row>
    <row r="92" spans="1:10" ht="10.5" customHeight="1" x14ac:dyDescent="0.15">
      <c r="A92" s="35"/>
      <c r="B92" s="152" t="s">
        <v>1581</v>
      </c>
      <c r="C92" s="115" t="s">
        <v>124</v>
      </c>
      <c r="D92" s="147">
        <v>0</v>
      </c>
      <c r="E92" s="147">
        <v>0</v>
      </c>
      <c r="F92" s="147">
        <v>0</v>
      </c>
      <c r="G92" s="147">
        <v>0</v>
      </c>
      <c r="H92" s="315">
        <v>0</v>
      </c>
      <c r="I92" s="572">
        <f t="shared" si="2"/>
        <v>0</v>
      </c>
    </row>
    <row r="93" spans="1:10" ht="10.5" customHeight="1" x14ac:dyDescent="0.15">
      <c r="A93" s="35"/>
      <c r="B93" s="152" t="s">
        <v>125</v>
      </c>
      <c r="C93" s="115" t="s">
        <v>133</v>
      </c>
      <c r="D93" s="147">
        <v>0</v>
      </c>
      <c r="E93" s="147">
        <v>0</v>
      </c>
      <c r="F93" s="147">
        <v>0</v>
      </c>
      <c r="G93" s="147">
        <v>0</v>
      </c>
      <c r="H93" s="315">
        <v>0</v>
      </c>
      <c r="I93" s="572">
        <f t="shared" si="2"/>
        <v>0</v>
      </c>
    </row>
    <row r="94" spans="1:10" ht="10.5" customHeight="1" x14ac:dyDescent="0.15">
      <c r="A94" s="35"/>
      <c r="B94" s="152" t="s">
        <v>126</v>
      </c>
      <c r="C94" s="115" t="s">
        <v>187</v>
      </c>
      <c r="D94" s="147">
        <v>0</v>
      </c>
      <c r="E94" s="147">
        <v>0</v>
      </c>
      <c r="F94" s="147">
        <v>0</v>
      </c>
      <c r="G94" s="147">
        <v>0</v>
      </c>
      <c r="H94" s="315">
        <v>0</v>
      </c>
      <c r="I94" s="572">
        <f t="shared" si="2"/>
        <v>0</v>
      </c>
    </row>
    <row r="95" spans="1:10" ht="10.5" customHeight="1" x14ac:dyDescent="0.15">
      <c r="A95" s="35"/>
      <c r="B95" s="152" t="s">
        <v>127</v>
      </c>
      <c r="C95" s="115" t="s">
        <v>134</v>
      </c>
      <c r="D95" s="147">
        <v>0</v>
      </c>
      <c r="E95" s="147">
        <v>0</v>
      </c>
      <c r="F95" s="147">
        <v>0</v>
      </c>
      <c r="G95" s="147">
        <v>0</v>
      </c>
      <c r="H95" s="315">
        <v>0</v>
      </c>
      <c r="I95" s="572">
        <f t="shared" si="2"/>
        <v>0</v>
      </c>
    </row>
    <row r="96" spans="1:10" ht="10.5" customHeight="1" x14ac:dyDescent="0.15">
      <c r="A96" s="35"/>
      <c r="B96" s="152" t="s">
        <v>128</v>
      </c>
      <c r="C96" s="115" t="s">
        <v>135</v>
      </c>
      <c r="D96" s="147">
        <v>0</v>
      </c>
      <c r="E96" s="147">
        <v>0</v>
      </c>
      <c r="F96" s="147">
        <v>0</v>
      </c>
      <c r="G96" s="147">
        <v>0</v>
      </c>
      <c r="H96" s="315">
        <v>0</v>
      </c>
      <c r="I96" s="572">
        <f t="shared" si="2"/>
        <v>0</v>
      </c>
    </row>
    <row r="97" spans="1:9" ht="10.5" customHeight="1" x14ac:dyDescent="0.15">
      <c r="A97" s="35"/>
      <c r="B97" s="152" t="s">
        <v>129</v>
      </c>
      <c r="C97" s="115" t="s">
        <v>136</v>
      </c>
      <c r="D97" s="147">
        <v>0</v>
      </c>
      <c r="E97" s="147">
        <v>0</v>
      </c>
      <c r="F97" s="147">
        <v>0</v>
      </c>
      <c r="G97" s="147">
        <v>0</v>
      </c>
      <c r="H97" s="315">
        <v>0</v>
      </c>
      <c r="I97" s="572">
        <f t="shared" si="2"/>
        <v>0</v>
      </c>
    </row>
    <row r="98" spans="1:9" ht="10.5" customHeight="1" x14ac:dyDescent="0.15">
      <c r="A98" s="35"/>
      <c r="B98" s="152" t="s">
        <v>131</v>
      </c>
      <c r="C98" s="115" t="s">
        <v>137</v>
      </c>
      <c r="D98" s="147">
        <v>0</v>
      </c>
      <c r="E98" s="147">
        <v>0</v>
      </c>
      <c r="F98" s="147">
        <v>0</v>
      </c>
      <c r="G98" s="147">
        <v>0</v>
      </c>
      <c r="H98" s="315">
        <v>0</v>
      </c>
      <c r="I98" s="572">
        <f t="shared" si="2"/>
        <v>0</v>
      </c>
    </row>
    <row r="99" spans="1:9" ht="10.5" customHeight="1" x14ac:dyDescent="0.15">
      <c r="A99" s="35"/>
      <c r="B99" s="152" t="s">
        <v>132</v>
      </c>
      <c r="C99" s="115" t="s">
        <v>1617</v>
      </c>
      <c r="D99" s="147">
        <v>0</v>
      </c>
      <c r="E99" s="147">
        <v>0</v>
      </c>
      <c r="F99" s="147">
        <v>0</v>
      </c>
      <c r="G99" s="147">
        <v>0</v>
      </c>
      <c r="H99" s="315">
        <v>0</v>
      </c>
      <c r="I99" s="572">
        <f t="shared" si="2"/>
        <v>0</v>
      </c>
    </row>
    <row r="100" spans="1:9" ht="10.5" customHeight="1" x14ac:dyDescent="0.15">
      <c r="A100" s="35"/>
      <c r="B100" s="152" t="s">
        <v>1624</v>
      </c>
      <c r="C100" s="115" t="s">
        <v>840</v>
      </c>
      <c r="D100" s="147">
        <v>0</v>
      </c>
      <c r="E100" s="147">
        <v>0</v>
      </c>
      <c r="F100" s="147">
        <v>0</v>
      </c>
      <c r="G100" s="147">
        <v>0</v>
      </c>
      <c r="H100" s="315">
        <v>0</v>
      </c>
      <c r="I100" s="572">
        <f t="shared" si="2"/>
        <v>0</v>
      </c>
    </row>
    <row r="101" spans="1:9" ht="10.5" customHeight="1" x14ac:dyDescent="0.15">
      <c r="A101" s="35"/>
      <c r="B101" s="152" t="s">
        <v>1625</v>
      </c>
      <c r="C101" s="115" t="s">
        <v>842</v>
      </c>
      <c r="D101" s="147">
        <v>0</v>
      </c>
      <c r="E101" s="147">
        <v>0</v>
      </c>
      <c r="F101" s="147">
        <v>0</v>
      </c>
      <c r="G101" s="147">
        <v>0</v>
      </c>
      <c r="H101" s="315">
        <v>0</v>
      </c>
      <c r="I101" s="572">
        <f t="shared" si="2"/>
        <v>0</v>
      </c>
    </row>
    <row r="102" spans="1:9" ht="10.5" customHeight="1" x14ac:dyDescent="0.15">
      <c r="A102" s="35"/>
      <c r="B102" s="152" t="s">
        <v>843</v>
      </c>
      <c r="C102" s="115" t="s">
        <v>848</v>
      </c>
      <c r="D102" s="147">
        <v>0</v>
      </c>
      <c r="E102" s="147">
        <v>0</v>
      </c>
      <c r="F102" s="147">
        <v>0</v>
      </c>
      <c r="G102" s="147">
        <v>0</v>
      </c>
      <c r="H102" s="315">
        <v>0</v>
      </c>
      <c r="I102" s="572">
        <f t="shared" si="2"/>
        <v>0</v>
      </c>
    </row>
    <row r="103" spans="1:9" ht="10.5" customHeight="1" x14ac:dyDescent="0.15">
      <c r="A103" s="35"/>
      <c r="B103" s="152" t="s">
        <v>844</v>
      </c>
      <c r="C103" s="115" t="s">
        <v>186</v>
      </c>
      <c r="D103" s="147">
        <v>0</v>
      </c>
      <c r="E103" s="147">
        <v>0</v>
      </c>
      <c r="F103" s="147">
        <v>0</v>
      </c>
      <c r="G103" s="147">
        <v>0</v>
      </c>
      <c r="H103" s="315">
        <v>0</v>
      </c>
      <c r="I103" s="572">
        <f t="shared" si="2"/>
        <v>0</v>
      </c>
    </row>
    <row r="104" spans="1:9" ht="10.5" customHeight="1" x14ac:dyDescent="0.15">
      <c r="A104" s="35"/>
      <c r="B104" s="152" t="s">
        <v>845</v>
      </c>
      <c r="C104" s="115" t="s">
        <v>154</v>
      </c>
      <c r="D104" s="147">
        <v>0</v>
      </c>
      <c r="E104" s="147">
        <v>0</v>
      </c>
      <c r="F104" s="147">
        <v>0</v>
      </c>
      <c r="G104" s="147">
        <v>0</v>
      </c>
      <c r="H104" s="315">
        <v>0</v>
      </c>
      <c r="I104" s="572">
        <f t="shared" si="2"/>
        <v>0</v>
      </c>
    </row>
    <row r="105" spans="1:9" ht="10.5" customHeight="1" x14ac:dyDescent="0.15">
      <c r="A105" s="35"/>
      <c r="B105" s="152" t="s">
        <v>846</v>
      </c>
      <c r="C105" s="115" t="s">
        <v>155</v>
      </c>
      <c r="D105" s="147">
        <v>0</v>
      </c>
      <c r="E105" s="147">
        <v>0</v>
      </c>
      <c r="F105" s="147">
        <v>0</v>
      </c>
      <c r="G105" s="147">
        <v>0</v>
      </c>
      <c r="H105" s="315">
        <v>0</v>
      </c>
      <c r="I105" s="572">
        <f t="shared" si="2"/>
        <v>0</v>
      </c>
    </row>
    <row r="106" spans="1:9" ht="10.5" customHeight="1" x14ac:dyDescent="0.15">
      <c r="A106" s="35"/>
      <c r="B106" s="152" t="s">
        <v>1582</v>
      </c>
      <c r="C106" s="115" t="s">
        <v>156</v>
      </c>
      <c r="D106" s="147">
        <v>0</v>
      </c>
      <c r="E106" s="147">
        <v>0</v>
      </c>
      <c r="F106" s="147">
        <v>0</v>
      </c>
      <c r="G106" s="147">
        <v>0</v>
      </c>
      <c r="H106" s="315">
        <v>0</v>
      </c>
      <c r="I106" s="572">
        <f t="shared" si="2"/>
        <v>0</v>
      </c>
    </row>
    <row r="107" spans="1:9" ht="10.5" customHeight="1" x14ac:dyDescent="0.15">
      <c r="A107" s="35"/>
      <c r="B107" s="152" t="s">
        <v>847</v>
      </c>
      <c r="C107" s="115" t="s">
        <v>157</v>
      </c>
      <c r="D107" s="147">
        <v>0</v>
      </c>
      <c r="E107" s="147">
        <v>0</v>
      </c>
      <c r="F107" s="147">
        <v>0</v>
      </c>
      <c r="G107" s="147">
        <v>0</v>
      </c>
      <c r="H107" s="315">
        <v>0</v>
      </c>
      <c r="I107" s="572">
        <f t="shared" si="2"/>
        <v>0</v>
      </c>
    </row>
    <row r="108" spans="1:9" ht="10.5" customHeight="1" x14ac:dyDescent="0.15">
      <c r="A108" s="35"/>
      <c r="B108" s="152" t="s">
        <v>1583</v>
      </c>
      <c r="C108" s="115" t="s">
        <v>160</v>
      </c>
      <c r="D108" s="147">
        <v>0</v>
      </c>
      <c r="E108" s="147">
        <v>0</v>
      </c>
      <c r="F108" s="147">
        <v>0</v>
      </c>
      <c r="G108" s="147">
        <v>0</v>
      </c>
      <c r="H108" s="315">
        <v>0</v>
      </c>
      <c r="I108" s="572">
        <f t="shared" si="2"/>
        <v>0</v>
      </c>
    </row>
    <row r="109" spans="1:9" ht="10.5" customHeight="1" x14ac:dyDescent="0.15">
      <c r="A109" s="35"/>
      <c r="B109" s="152" t="s">
        <v>634</v>
      </c>
      <c r="C109" s="115" t="s">
        <v>165</v>
      </c>
      <c r="D109" s="147">
        <v>0</v>
      </c>
      <c r="E109" s="147">
        <v>0</v>
      </c>
      <c r="F109" s="147">
        <v>0</v>
      </c>
      <c r="G109" s="147">
        <v>0</v>
      </c>
      <c r="H109" s="315">
        <v>0</v>
      </c>
      <c r="I109" s="572">
        <f t="shared" si="2"/>
        <v>0</v>
      </c>
    </row>
    <row r="110" spans="1:9" ht="10.5" customHeight="1" x14ac:dyDescent="0.15">
      <c r="A110" s="35"/>
      <c r="B110" s="152" t="s">
        <v>630</v>
      </c>
      <c r="C110" s="115" t="s">
        <v>172</v>
      </c>
      <c r="D110" s="147">
        <v>0</v>
      </c>
      <c r="E110" s="147">
        <v>0</v>
      </c>
      <c r="F110" s="147">
        <v>0</v>
      </c>
      <c r="G110" s="147">
        <v>0</v>
      </c>
      <c r="H110" s="315">
        <v>0</v>
      </c>
      <c r="I110" s="572">
        <f t="shared" si="2"/>
        <v>0</v>
      </c>
    </row>
    <row r="111" spans="1:9" ht="10.5" customHeight="1" x14ac:dyDescent="0.15">
      <c r="A111" s="35"/>
      <c r="B111" s="652" t="s">
        <v>631</v>
      </c>
      <c r="C111" s="653" t="s">
        <v>173</v>
      </c>
      <c r="D111" s="147">
        <v>0</v>
      </c>
      <c r="E111" s="147">
        <v>0</v>
      </c>
      <c r="F111" s="147">
        <v>0</v>
      </c>
      <c r="G111" s="147">
        <v>0</v>
      </c>
      <c r="H111" s="315">
        <v>0</v>
      </c>
      <c r="I111" s="572">
        <f t="shared" si="2"/>
        <v>0</v>
      </c>
    </row>
    <row r="112" spans="1:9" ht="10.5" customHeight="1" x14ac:dyDescent="0.15">
      <c r="A112" s="35"/>
      <c r="B112" s="152" t="s">
        <v>1584</v>
      </c>
      <c r="C112" s="115" t="s">
        <v>178</v>
      </c>
      <c r="D112" s="147">
        <v>0</v>
      </c>
      <c r="E112" s="147">
        <v>0</v>
      </c>
      <c r="F112" s="147">
        <v>0</v>
      </c>
      <c r="G112" s="147">
        <v>0</v>
      </c>
      <c r="H112" s="315">
        <v>0</v>
      </c>
      <c r="I112" s="572">
        <f t="shared" si="2"/>
        <v>0</v>
      </c>
    </row>
    <row r="113" spans="1:10" ht="10.5" customHeight="1" x14ac:dyDescent="0.15">
      <c r="A113" s="35"/>
      <c r="B113" s="152" t="s">
        <v>174</v>
      </c>
      <c r="C113" s="115" t="s">
        <v>179</v>
      </c>
      <c r="D113" s="147">
        <v>0</v>
      </c>
      <c r="E113" s="147">
        <v>0</v>
      </c>
      <c r="F113" s="147">
        <v>0</v>
      </c>
      <c r="G113" s="147">
        <v>0</v>
      </c>
      <c r="H113" s="315">
        <v>0</v>
      </c>
      <c r="I113" s="572">
        <f t="shared" si="2"/>
        <v>0</v>
      </c>
    </row>
    <row r="114" spans="1:10" ht="10.5" customHeight="1" x14ac:dyDescent="0.15">
      <c r="A114" s="35"/>
      <c r="B114" s="152" t="s">
        <v>175</v>
      </c>
      <c r="C114" s="115" t="s">
        <v>180</v>
      </c>
      <c r="D114" s="147">
        <v>0</v>
      </c>
      <c r="E114" s="147">
        <v>0</v>
      </c>
      <c r="F114" s="147">
        <v>0</v>
      </c>
      <c r="G114" s="147">
        <v>0</v>
      </c>
      <c r="H114" s="315">
        <v>0</v>
      </c>
      <c r="I114" s="572">
        <f t="shared" si="2"/>
        <v>0</v>
      </c>
    </row>
    <row r="115" spans="1:10" ht="10.5" customHeight="1" x14ac:dyDescent="0.15">
      <c r="A115" s="35"/>
      <c r="B115" s="152" t="s">
        <v>176</v>
      </c>
      <c r="C115" s="115" t="s">
        <v>181</v>
      </c>
      <c r="D115" s="147">
        <v>0</v>
      </c>
      <c r="E115" s="147">
        <v>0</v>
      </c>
      <c r="F115" s="147">
        <v>0</v>
      </c>
      <c r="G115" s="147">
        <v>0</v>
      </c>
      <c r="H115" s="315">
        <v>0</v>
      </c>
      <c r="I115" s="572">
        <f t="shared" si="2"/>
        <v>0</v>
      </c>
    </row>
    <row r="116" spans="1:10" ht="10.5" customHeight="1" x14ac:dyDescent="0.15">
      <c r="A116" s="35"/>
      <c r="B116" s="152" t="s">
        <v>177</v>
      </c>
      <c r="C116" s="115" t="s">
        <v>182</v>
      </c>
      <c r="D116" s="147">
        <v>0</v>
      </c>
      <c r="E116" s="147">
        <v>0</v>
      </c>
      <c r="F116" s="147">
        <v>0</v>
      </c>
      <c r="G116" s="147">
        <v>0</v>
      </c>
      <c r="H116" s="315">
        <v>0</v>
      </c>
      <c r="I116" s="572">
        <f t="shared" si="2"/>
        <v>0</v>
      </c>
    </row>
    <row r="117" spans="1:10" ht="10.5" customHeight="1" thickBot="1" x14ac:dyDescent="0.2">
      <c r="A117" s="35"/>
      <c r="B117" s="152" t="s">
        <v>632</v>
      </c>
      <c r="C117" s="115" t="s">
        <v>183</v>
      </c>
      <c r="D117" s="144">
        <v>0</v>
      </c>
      <c r="E117" s="144">
        <v>0</v>
      </c>
      <c r="F117" s="144">
        <v>0</v>
      </c>
      <c r="G117" s="144">
        <v>0</v>
      </c>
      <c r="H117" s="315">
        <v>0</v>
      </c>
      <c r="I117" s="572">
        <f t="shared" si="2"/>
        <v>0</v>
      </c>
    </row>
    <row r="118" spans="1:10" ht="10.5" customHeight="1" thickTop="1" thickBot="1" x14ac:dyDescent="0.2">
      <c r="A118" s="35"/>
      <c r="B118" s="152"/>
      <c r="C118" s="115" t="s">
        <v>263</v>
      </c>
      <c r="D118" s="169">
        <f>SUM(D84:D117)</f>
        <v>0</v>
      </c>
      <c r="E118" s="169">
        <f>SUM(E84:E117)</f>
        <v>0</v>
      </c>
      <c r="F118" s="169">
        <f>SUM(F84:F117)</f>
        <v>0</v>
      </c>
      <c r="G118" s="169">
        <f>SUM(G84:G117)</f>
        <v>0</v>
      </c>
      <c r="H118" s="169">
        <f>SUM(H84:H117)</f>
        <v>0</v>
      </c>
      <c r="I118" s="304">
        <f>SUM(G118+H118)</f>
        <v>0</v>
      </c>
    </row>
    <row r="119" spans="1:10" ht="10.5" customHeight="1" thickTop="1" x14ac:dyDescent="0.15">
      <c r="A119" s="35"/>
      <c r="B119" s="152"/>
      <c r="C119" s="115"/>
      <c r="D119" s="14"/>
      <c r="E119" s="14"/>
      <c r="F119" s="14"/>
      <c r="G119" s="14"/>
      <c r="H119" s="305"/>
      <c r="I119" s="305"/>
    </row>
    <row r="120" spans="1:10" ht="10.5" customHeight="1" x14ac:dyDescent="0.15">
      <c r="A120" s="35" t="s">
        <v>645</v>
      </c>
      <c r="C120" s="115"/>
      <c r="D120" s="14"/>
      <c r="E120" s="14"/>
      <c r="F120" s="14"/>
      <c r="G120" s="14"/>
      <c r="H120" s="305"/>
      <c r="I120" s="305"/>
    </row>
    <row r="121" spans="1:10" s="309" customFormat="1" x14ac:dyDescent="0.15">
      <c r="B121" s="311" t="s">
        <v>1577</v>
      </c>
      <c r="C121" s="312" t="s">
        <v>228</v>
      </c>
      <c r="D121" s="316">
        <v>0</v>
      </c>
      <c r="E121" s="316">
        <v>0</v>
      </c>
      <c r="F121" s="316">
        <v>0</v>
      </c>
      <c r="G121" s="528">
        <f t="array" ref="G121">SUM(IF(CertFund&amp;CertProg&amp;CertObj=RIGHT(LEFT($A$2,7),2)&amp;LEFT(A120,4)&amp;B121,CertSalary))</f>
        <v>0</v>
      </c>
      <c r="H121" s="527">
        <v>0</v>
      </c>
      <c r="I121" s="566">
        <f>SUM(G121+H121)</f>
        <v>0</v>
      </c>
    </row>
    <row r="122" spans="1:10" s="309" customFormat="1" x14ac:dyDescent="0.15">
      <c r="B122" s="311" t="s">
        <v>1577</v>
      </c>
      <c r="C122" s="312" t="s">
        <v>510</v>
      </c>
      <c r="D122" s="316">
        <v>0</v>
      </c>
      <c r="E122" s="316">
        <v>0</v>
      </c>
      <c r="F122" s="316">
        <v>0</v>
      </c>
      <c r="G122" s="316">
        <v>0</v>
      </c>
      <c r="H122" s="527">
        <v>0</v>
      </c>
      <c r="I122" s="566">
        <f>SUM(G122+H122)</f>
        <v>0</v>
      </c>
    </row>
    <row r="123" spans="1:10" s="309" customFormat="1" x14ac:dyDescent="0.15">
      <c r="A123" s="312"/>
      <c r="B123" s="311" t="s">
        <v>1578</v>
      </c>
      <c r="C123" s="312" t="s">
        <v>936</v>
      </c>
      <c r="D123" s="316">
        <v>0</v>
      </c>
      <c r="E123" s="316">
        <v>0</v>
      </c>
      <c r="F123" s="316">
        <v>0</v>
      </c>
      <c r="G123" s="529">
        <f t="array" ref="G123">SUM(IF(CertFund&amp;CertProg&amp;CertObj=RIGHT(LEFT($A$2,7),2)&amp;LEFT(A120,4)&amp;B121,CertBen))</f>
        <v>0</v>
      </c>
      <c r="H123" s="527">
        <v>0</v>
      </c>
      <c r="I123" s="566">
        <f>SUM(G123+H123)</f>
        <v>0</v>
      </c>
    </row>
    <row r="124" spans="1:10" x14ac:dyDescent="0.15">
      <c r="A124" s="115"/>
      <c r="B124" s="152" t="s">
        <v>1578</v>
      </c>
      <c r="C124" s="115" t="s">
        <v>511</v>
      </c>
      <c r="D124" s="147">
        <v>0</v>
      </c>
      <c r="E124" s="147">
        <v>0</v>
      </c>
      <c r="F124" s="147">
        <v>0</v>
      </c>
      <c r="G124" s="147">
        <v>0</v>
      </c>
      <c r="H124" s="150">
        <v>0</v>
      </c>
      <c r="I124" s="567">
        <f>SUM(G124+H124)</f>
        <v>0</v>
      </c>
      <c r="J124" s="309"/>
    </row>
    <row r="125" spans="1:10" ht="10.5" customHeight="1" x14ac:dyDescent="0.15">
      <c r="A125" s="35"/>
      <c r="B125" s="152" t="s">
        <v>1579</v>
      </c>
      <c r="C125" s="115" t="s">
        <v>118</v>
      </c>
      <c r="D125" s="147">
        <v>0</v>
      </c>
      <c r="E125" s="147">
        <v>0</v>
      </c>
      <c r="F125" s="147">
        <v>0</v>
      </c>
      <c r="G125" s="147">
        <v>0</v>
      </c>
      <c r="H125" s="316">
        <v>0</v>
      </c>
      <c r="I125" s="535">
        <f t="shared" ref="I125:I148" si="3">SUM(G125+H125)</f>
        <v>0</v>
      </c>
    </row>
    <row r="126" spans="1:10" ht="10.5" customHeight="1" x14ac:dyDescent="0.15">
      <c r="A126" s="35"/>
      <c r="B126" s="152" t="s">
        <v>1580</v>
      </c>
      <c r="C126" s="115" t="s">
        <v>119</v>
      </c>
      <c r="D126" s="147">
        <v>0</v>
      </c>
      <c r="E126" s="147">
        <v>0</v>
      </c>
      <c r="F126" s="147">
        <v>0</v>
      </c>
      <c r="G126" s="147">
        <v>0</v>
      </c>
      <c r="H126" s="316">
        <v>0</v>
      </c>
      <c r="I126" s="535">
        <f t="shared" si="3"/>
        <v>0</v>
      </c>
    </row>
    <row r="127" spans="1:10" ht="10.5" customHeight="1" x14ac:dyDescent="0.15">
      <c r="A127" s="35"/>
      <c r="B127" s="152" t="s">
        <v>120</v>
      </c>
      <c r="C127" s="115" t="s">
        <v>121</v>
      </c>
      <c r="D127" s="147">
        <v>0</v>
      </c>
      <c r="E127" s="147">
        <v>0</v>
      </c>
      <c r="F127" s="147">
        <v>0</v>
      </c>
      <c r="G127" s="147">
        <v>0</v>
      </c>
      <c r="H127" s="316">
        <v>0</v>
      </c>
      <c r="I127" s="535">
        <f t="shared" si="3"/>
        <v>0</v>
      </c>
    </row>
    <row r="128" spans="1:10" ht="10.5" customHeight="1" x14ac:dyDescent="0.15">
      <c r="A128" s="35"/>
      <c r="B128" s="152" t="s">
        <v>122</v>
      </c>
      <c r="C128" s="115" t="s">
        <v>123</v>
      </c>
      <c r="D128" s="147">
        <v>0</v>
      </c>
      <c r="E128" s="147">
        <v>0</v>
      </c>
      <c r="F128" s="147">
        <v>0</v>
      </c>
      <c r="G128" s="147">
        <v>0</v>
      </c>
      <c r="H128" s="316">
        <v>0</v>
      </c>
      <c r="I128" s="535">
        <f t="shared" si="3"/>
        <v>0</v>
      </c>
    </row>
    <row r="129" spans="1:9" ht="10.5" customHeight="1" x14ac:dyDescent="0.15">
      <c r="A129" s="35"/>
      <c r="B129" s="152" t="s">
        <v>1581</v>
      </c>
      <c r="C129" s="115" t="s">
        <v>124</v>
      </c>
      <c r="D129" s="147">
        <v>0</v>
      </c>
      <c r="E129" s="147">
        <v>0</v>
      </c>
      <c r="F129" s="147">
        <v>0</v>
      </c>
      <c r="G129" s="147">
        <v>0</v>
      </c>
      <c r="H129" s="316">
        <v>0</v>
      </c>
      <c r="I129" s="535">
        <f t="shared" si="3"/>
        <v>0</v>
      </c>
    </row>
    <row r="130" spans="1:9" ht="10.5" customHeight="1" x14ac:dyDescent="0.15">
      <c r="A130" s="35"/>
      <c r="B130" s="152" t="s">
        <v>1624</v>
      </c>
      <c r="C130" s="115" t="s">
        <v>840</v>
      </c>
      <c r="D130" s="147">
        <v>0</v>
      </c>
      <c r="E130" s="147">
        <v>0</v>
      </c>
      <c r="F130" s="147">
        <v>0</v>
      </c>
      <c r="G130" s="147">
        <v>0</v>
      </c>
      <c r="H130" s="316">
        <v>0</v>
      </c>
      <c r="I130" s="535">
        <f t="shared" si="3"/>
        <v>0</v>
      </c>
    </row>
    <row r="131" spans="1:9" ht="10.5" customHeight="1" x14ac:dyDescent="0.15">
      <c r="A131" s="35"/>
      <c r="B131" s="152" t="s">
        <v>1625</v>
      </c>
      <c r="C131" s="115" t="s">
        <v>842</v>
      </c>
      <c r="D131" s="147">
        <v>0</v>
      </c>
      <c r="E131" s="147">
        <v>0</v>
      </c>
      <c r="F131" s="147">
        <v>0</v>
      </c>
      <c r="G131" s="147">
        <v>0</v>
      </c>
      <c r="H131" s="316">
        <v>0</v>
      </c>
      <c r="I131" s="535">
        <f t="shared" si="3"/>
        <v>0</v>
      </c>
    </row>
    <row r="132" spans="1:9" ht="10.5" customHeight="1" x14ac:dyDescent="0.15">
      <c r="A132" s="35"/>
      <c r="B132" s="152" t="s">
        <v>843</v>
      </c>
      <c r="C132" s="115" t="s">
        <v>848</v>
      </c>
      <c r="D132" s="147">
        <v>0</v>
      </c>
      <c r="E132" s="147">
        <v>0</v>
      </c>
      <c r="F132" s="147">
        <v>0</v>
      </c>
      <c r="G132" s="147">
        <v>0</v>
      </c>
      <c r="H132" s="316">
        <v>0</v>
      </c>
      <c r="I132" s="535">
        <f t="shared" si="3"/>
        <v>0</v>
      </c>
    </row>
    <row r="133" spans="1:9" ht="10.5" customHeight="1" x14ac:dyDescent="0.15">
      <c r="A133" s="35"/>
      <c r="B133" s="152" t="s">
        <v>844</v>
      </c>
      <c r="C133" s="115" t="s">
        <v>186</v>
      </c>
      <c r="D133" s="147">
        <v>0</v>
      </c>
      <c r="E133" s="147">
        <v>0</v>
      </c>
      <c r="F133" s="147">
        <v>0</v>
      </c>
      <c r="G133" s="147">
        <v>0</v>
      </c>
      <c r="H133" s="316">
        <v>0</v>
      </c>
      <c r="I133" s="535">
        <f t="shared" si="3"/>
        <v>0</v>
      </c>
    </row>
    <row r="134" spans="1:9" ht="10.5" customHeight="1" x14ac:dyDescent="0.15">
      <c r="A134" s="35"/>
      <c r="B134" s="152" t="s">
        <v>845</v>
      </c>
      <c r="C134" s="115" t="s">
        <v>154</v>
      </c>
      <c r="D134" s="147">
        <v>0</v>
      </c>
      <c r="E134" s="147">
        <v>0</v>
      </c>
      <c r="F134" s="147">
        <v>0</v>
      </c>
      <c r="G134" s="147">
        <v>0</v>
      </c>
      <c r="H134" s="316">
        <v>0</v>
      </c>
      <c r="I134" s="535">
        <f t="shared" si="3"/>
        <v>0</v>
      </c>
    </row>
    <row r="135" spans="1:9" ht="10.5" customHeight="1" x14ac:dyDescent="0.15">
      <c r="A135" s="35"/>
      <c r="B135" s="152" t="s">
        <v>846</v>
      </c>
      <c r="C135" s="115" t="s">
        <v>155</v>
      </c>
      <c r="D135" s="147">
        <v>0</v>
      </c>
      <c r="E135" s="147">
        <v>0</v>
      </c>
      <c r="F135" s="147">
        <v>0</v>
      </c>
      <c r="G135" s="147">
        <v>0</v>
      </c>
      <c r="H135" s="316">
        <v>0</v>
      </c>
      <c r="I135" s="535">
        <f t="shared" si="3"/>
        <v>0</v>
      </c>
    </row>
    <row r="136" spans="1:9" ht="10.5" customHeight="1" x14ac:dyDescent="0.15">
      <c r="A136" s="35"/>
      <c r="B136" s="152" t="s">
        <v>332</v>
      </c>
      <c r="C136" s="115" t="s">
        <v>463</v>
      </c>
      <c r="D136" s="147">
        <v>0</v>
      </c>
      <c r="E136" s="147">
        <v>0</v>
      </c>
      <c r="F136" s="147">
        <v>0</v>
      </c>
      <c r="G136" s="147">
        <v>0</v>
      </c>
      <c r="H136" s="316">
        <v>0</v>
      </c>
      <c r="I136" s="535">
        <f t="shared" si="3"/>
        <v>0</v>
      </c>
    </row>
    <row r="137" spans="1:9" ht="10.5" customHeight="1" x14ac:dyDescent="0.15">
      <c r="A137" s="35"/>
      <c r="B137" s="152" t="s">
        <v>1582</v>
      </c>
      <c r="C137" s="115" t="s">
        <v>156</v>
      </c>
      <c r="D137" s="147">
        <v>0</v>
      </c>
      <c r="E137" s="147">
        <v>0</v>
      </c>
      <c r="F137" s="147">
        <v>0</v>
      </c>
      <c r="G137" s="147">
        <v>0</v>
      </c>
      <c r="H137" s="316">
        <v>0</v>
      </c>
      <c r="I137" s="535">
        <f t="shared" si="3"/>
        <v>0</v>
      </c>
    </row>
    <row r="138" spans="1:9" ht="10.5" customHeight="1" x14ac:dyDescent="0.15">
      <c r="A138" s="35"/>
      <c r="B138" s="152" t="s">
        <v>847</v>
      </c>
      <c r="C138" s="115" t="s">
        <v>157</v>
      </c>
      <c r="D138" s="147">
        <v>0</v>
      </c>
      <c r="E138" s="147">
        <v>0</v>
      </c>
      <c r="F138" s="147">
        <v>0</v>
      </c>
      <c r="G138" s="147">
        <v>0</v>
      </c>
      <c r="H138" s="316">
        <v>0</v>
      </c>
      <c r="I138" s="535">
        <f t="shared" si="3"/>
        <v>0</v>
      </c>
    </row>
    <row r="139" spans="1:9" ht="10.5" customHeight="1" x14ac:dyDescent="0.15">
      <c r="A139" s="35"/>
      <c r="B139" s="152" t="s">
        <v>1583</v>
      </c>
      <c r="C139" s="115" t="s">
        <v>160</v>
      </c>
      <c r="D139" s="147">
        <v>0</v>
      </c>
      <c r="E139" s="147">
        <v>0</v>
      </c>
      <c r="F139" s="147">
        <v>0</v>
      </c>
      <c r="G139" s="147">
        <v>0</v>
      </c>
      <c r="H139" s="316">
        <v>0</v>
      </c>
      <c r="I139" s="535">
        <f t="shared" si="3"/>
        <v>0</v>
      </c>
    </row>
    <row r="140" spans="1:9" ht="10.5" customHeight="1" x14ac:dyDescent="0.15">
      <c r="A140" s="35"/>
      <c r="B140" s="152" t="s">
        <v>634</v>
      </c>
      <c r="C140" s="115" t="s">
        <v>165</v>
      </c>
      <c r="D140" s="147">
        <v>0</v>
      </c>
      <c r="E140" s="147">
        <v>0</v>
      </c>
      <c r="F140" s="147">
        <v>0</v>
      </c>
      <c r="G140" s="147">
        <v>0</v>
      </c>
      <c r="H140" s="316">
        <v>0</v>
      </c>
      <c r="I140" s="535">
        <f t="shared" si="3"/>
        <v>0</v>
      </c>
    </row>
    <row r="141" spans="1:9" ht="10.5" customHeight="1" x14ac:dyDescent="0.15">
      <c r="A141" s="35"/>
      <c r="B141" s="152" t="s">
        <v>630</v>
      </c>
      <c r="C141" s="115" t="s">
        <v>172</v>
      </c>
      <c r="D141" s="147">
        <v>0</v>
      </c>
      <c r="E141" s="147">
        <v>0</v>
      </c>
      <c r="F141" s="147">
        <v>0</v>
      </c>
      <c r="G141" s="147">
        <v>0</v>
      </c>
      <c r="H141" s="316">
        <v>0</v>
      </c>
      <c r="I141" s="535">
        <f t="shared" si="3"/>
        <v>0</v>
      </c>
    </row>
    <row r="142" spans="1:9" ht="10.5" customHeight="1" x14ac:dyDescent="0.15">
      <c r="A142" s="35"/>
      <c r="B142" s="652" t="s">
        <v>631</v>
      </c>
      <c r="C142" s="653" t="s">
        <v>173</v>
      </c>
      <c r="D142" s="147">
        <v>0</v>
      </c>
      <c r="E142" s="147">
        <v>0</v>
      </c>
      <c r="F142" s="147">
        <v>0</v>
      </c>
      <c r="G142" s="147">
        <v>0</v>
      </c>
      <c r="H142" s="316">
        <v>0</v>
      </c>
      <c r="I142" s="535">
        <f t="shared" si="3"/>
        <v>0</v>
      </c>
    </row>
    <row r="143" spans="1:9" ht="10.5" customHeight="1" x14ac:dyDescent="0.15">
      <c r="A143" s="35"/>
      <c r="B143" s="152" t="s">
        <v>1584</v>
      </c>
      <c r="C143" s="115" t="s">
        <v>178</v>
      </c>
      <c r="D143" s="147">
        <v>0</v>
      </c>
      <c r="E143" s="147">
        <v>0</v>
      </c>
      <c r="F143" s="147">
        <v>0</v>
      </c>
      <c r="G143" s="147">
        <v>0</v>
      </c>
      <c r="H143" s="316">
        <v>0</v>
      </c>
      <c r="I143" s="535">
        <f t="shared" si="3"/>
        <v>0</v>
      </c>
    </row>
    <row r="144" spans="1:9" ht="10.5" customHeight="1" x14ac:dyDescent="0.15">
      <c r="A144" s="35"/>
      <c r="B144" s="152" t="s">
        <v>174</v>
      </c>
      <c r="C144" s="115" t="s">
        <v>179</v>
      </c>
      <c r="D144" s="147">
        <v>0</v>
      </c>
      <c r="E144" s="147">
        <v>0</v>
      </c>
      <c r="F144" s="147">
        <v>0</v>
      </c>
      <c r="G144" s="147">
        <v>0</v>
      </c>
      <c r="H144" s="316">
        <v>0</v>
      </c>
      <c r="I144" s="535">
        <f t="shared" si="3"/>
        <v>0</v>
      </c>
    </row>
    <row r="145" spans="1:9" ht="10.5" customHeight="1" x14ac:dyDescent="0.15">
      <c r="A145" s="35"/>
      <c r="B145" s="152" t="s">
        <v>175</v>
      </c>
      <c r="C145" s="115" t="s">
        <v>180</v>
      </c>
      <c r="D145" s="147">
        <v>0</v>
      </c>
      <c r="E145" s="147">
        <v>0</v>
      </c>
      <c r="F145" s="147">
        <v>0</v>
      </c>
      <c r="G145" s="147">
        <v>0</v>
      </c>
      <c r="H145" s="316">
        <v>0</v>
      </c>
      <c r="I145" s="535">
        <f t="shared" si="3"/>
        <v>0</v>
      </c>
    </row>
    <row r="146" spans="1:9" ht="10.5" customHeight="1" x14ac:dyDescent="0.15">
      <c r="A146" s="35"/>
      <c r="B146" s="152" t="s">
        <v>176</v>
      </c>
      <c r="C146" s="115" t="s">
        <v>181</v>
      </c>
      <c r="D146" s="147">
        <v>0</v>
      </c>
      <c r="E146" s="147">
        <v>0</v>
      </c>
      <c r="F146" s="147">
        <v>0</v>
      </c>
      <c r="G146" s="147">
        <v>0</v>
      </c>
      <c r="H146" s="316">
        <v>0</v>
      </c>
      <c r="I146" s="535">
        <f t="shared" si="3"/>
        <v>0</v>
      </c>
    </row>
    <row r="147" spans="1:9" ht="10.5" customHeight="1" x14ac:dyDescent="0.15">
      <c r="A147" s="35"/>
      <c r="B147" s="152" t="s">
        <v>177</v>
      </c>
      <c r="C147" s="115" t="s">
        <v>182</v>
      </c>
      <c r="D147" s="147">
        <v>0</v>
      </c>
      <c r="E147" s="147">
        <v>0</v>
      </c>
      <c r="F147" s="147">
        <v>0</v>
      </c>
      <c r="G147" s="147">
        <v>0</v>
      </c>
      <c r="H147" s="316">
        <v>0</v>
      </c>
      <c r="I147" s="535">
        <f t="shared" si="3"/>
        <v>0</v>
      </c>
    </row>
    <row r="148" spans="1:9" ht="10.5" customHeight="1" thickBot="1" x14ac:dyDescent="0.2">
      <c r="A148" s="35"/>
      <c r="B148" s="152" t="s">
        <v>632</v>
      </c>
      <c r="C148" s="115" t="s">
        <v>183</v>
      </c>
      <c r="D148" s="144">
        <v>0</v>
      </c>
      <c r="E148" s="144">
        <v>0</v>
      </c>
      <c r="F148" s="144">
        <v>0</v>
      </c>
      <c r="G148" s="147">
        <v>0</v>
      </c>
      <c r="H148" s="317">
        <v>0</v>
      </c>
      <c r="I148" s="573">
        <f t="shared" si="3"/>
        <v>0</v>
      </c>
    </row>
    <row r="149" spans="1:9" ht="10.5" customHeight="1" thickTop="1" thickBot="1" x14ac:dyDescent="0.2">
      <c r="A149" s="35"/>
      <c r="B149" s="152"/>
      <c r="C149" s="115" t="s">
        <v>646</v>
      </c>
      <c r="D149" s="169">
        <f>SUM(D121:D148)</f>
        <v>0</v>
      </c>
      <c r="E149" s="169">
        <f>SUM(E121:E148)</f>
        <v>0</v>
      </c>
      <c r="F149" s="169">
        <f>SUM(F121:F148)</f>
        <v>0</v>
      </c>
      <c r="G149" s="169">
        <f>SUM(G121:G148)</f>
        <v>0</v>
      </c>
      <c r="H149" s="169">
        <f>SUM(H121:H148)</f>
        <v>0</v>
      </c>
      <c r="I149" s="304">
        <f>SUM(G149+H149)</f>
        <v>0</v>
      </c>
    </row>
    <row r="150" spans="1:9" ht="10.5" customHeight="1" thickTop="1" x14ac:dyDescent="0.15">
      <c r="A150" s="35"/>
      <c r="B150" s="152"/>
      <c r="C150" s="115"/>
      <c r="D150" s="14"/>
      <c r="E150" s="14"/>
      <c r="F150" s="14"/>
      <c r="G150" s="14"/>
      <c r="H150" s="308"/>
      <c r="I150" s="570"/>
    </row>
    <row r="151" spans="1:9" ht="10.5" customHeight="1" x14ac:dyDescent="0.15">
      <c r="A151" s="35" t="s">
        <v>621</v>
      </c>
      <c r="C151" s="115"/>
      <c r="D151" s="14"/>
      <c r="E151" s="14"/>
      <c r="F151" s="14"/>
      <c r="G151" s="14"/>
      <c r="H151" s="308"/>
      <c r="I151" s="570"/>
    </row>
    <row r="152" spans="1:9" s="309" customFormat="1" x14ac:dyDescent="0.15">
      <c r="B152" s="311" t="s">
        <v>1577</v>
      </c>
      <c r="C152" s="312" t="s">
        <v>228</v>
      </c>
      <c r="D152" s="316">
        <v>0</v>
      </c>
      <c r="E152" s="316">
        <v>0</v>
      </c>
      <c r="F152" s="316">
        <v>0</v>
      </c>
      <c r="G152" s="528">
        <f t="array" ref="G152">SUM(IF(CertFund&amp;CertProg&amp;CertObj=RIGHT(LEFT($A$2,7),2)&amp;LEFT(A151,4)&amp;B152,CertSalary))</f>
        <v>0</v>
      </c>
      <c r="H152" s="527">
        <v>0</v>
      </c>
      <c r="I152" s="566">
        <f>SUM(G152+H152)</f>
        <v>0</v>
      </c>
    </row>
    <row r="153" spans="1:9" s="309" customFormat="1" x14ac:dyDescent="0.15">
      <c r="B153" s="311" t="s">
        <v>1577</v>
      </c>
      <c r="C153" s="312" t="s">
        <v>510</v>
      </c>
      <c r="D153" s="316">
        <v>0</v>
      </c>
      <c r="E153" s="316">
        <v>0</v>
      </c>
      <c r="F153" s="316">
        <v>0</v>
      </c>
      <c r="G153" s="316">
        <v>0</v>
      </c>
      <c r="H153" s="527">
        <v>0</v>
      </c>
      <c r="I153" s="566">
        <f>SUM(G153+H153)</f>
        <v>0</v>
      </c>
    </row>
    <row r="154" spans="1:9" s="309" customFormat="1" x14ac:dyDescent="0.15">
      <c r="A154" s="312"/>
      <c r="B154" s="311" t="s">
        <v>1578</v>
      </c>
      <c r="C154" s="312" t="s">
        <v>936</v>
      </c>
      <c r="D154" s="316">
        <v>0</v>
      </c>
      <c r="E154" s="316">
        <v>0</v>
      </c>
      <c r="F154" s="316">
        <v>0</v>
      </c>
      <c r="G154" s="529">
        <f t="array" ref="G154">SUM(IF(CertFund&amp;CertProg&amp;CertObj=RIGHT(LEFT($A$2,7),2)&amp;LEFT(A151,4)&amp;B152,CertBen))</f>
        <v>0</v>
      </c>
      <c r="H154" s="527">
        <v>0</v>
      </c>
      <c r="I154" s="566">
        <f>SUM(G154+H154)</f>
        <v>0</v>
      </c>
    </row>
    <row r="155" spans="1:9" s="309" customFormat="1" x14ac:dyDescent="0.15">
      <c r="A155" s="312"/>
      <c r="B155" s="311" t="s">
        <v>1578</v>
      </c>
      <c r="C155" s="312" t="s">
        <v>511</v>
      </c>
      <c r="D155" s="316">
        <v>0</v>
      </c>
      <c r="E155" s="316">
        <v>0</v>
      </c>
      <c r="F155" s="316">
        <v>0</v>
      </c>
      <c r="G155" s="316">
        <v>0</v>
      </c>
      <c r="H155" s="527">
        <v>0</v>
      </c>
      <c r="I155" s="566">
        <f>SUM(G155+H155)</f>
        <v>0</v>
      </c>
    </row>
    <row r="156" spans="1:9" ht="10.5" customHeight="1" x14ac:dyDescent="0.15">
      <c r="A156" s="35"/>
      <c r="B156" s="152" t="s">
        <v>1579</v>
      </c>
      <c r="C156" s="115" t="s">
        <v>118</v>
      </c>
      <c r="D156" s="147">
        <v>0</v>
      </c>
      <c r="E156" s="147">
        <v>0</v>
      </c>
      <c r="F156" s="147">
        <v>0</v>
      </c>
      <c r="G156" s="147">
        <v>0</v>
      </c>
      <c r="H156" s="316">
        <v>0</v>
      </c>
      <c r="I156" s="535">
        <f t="shared" ref="I156:I185" si="4">SUM(G156+H156)</f>
        <v>0</v>
      </c>
    </row>
    <row r="157" spans="1:9" ht="10.5" customHeight="1" x14ac:dyDescent="0.15">
      <c r="A157" s="35"/>
      <c r="B157" s="152" t="s">
        <v>1580</v>
      </c>
      <c r="C157" s="115" t="s">
        <v>119</v>
      </c>
      <c r="D157" s="147">
        <v>0</v>
      </c>
      <c r="E157" s="147">
        <v>0</v>
      </c>
      <c r="F157" s="147">
        <v>0</v>
      </c>
      <c r="G157" s="147">
        <v>0</v>
      </c>
      <c r="H157" s="316">
        <v>0</v>
      </c>
      <c r="I157" s="535">
        <f t="shared" si="4"/>
        <v>0</v>
      </c>
    </row>
    <row r="158" spans="1:9" ht="10.5" customHeight="1" x14ac:dyDescent="0.15">
      <c r="A158" s="35"/>
      <c r="B158" s="152" t="s">
        <v>120</v>
      </c>
      <c r="C158" s="115" t="s">
        <v>121</v>
      </c>
      <c r="D158" s="147">
        <v>0</v>
      </c>
      <c r="E158" s="147">
        <v>0</v>
      </c>
      <c r="F158" s="147">
        <v>0</v>
      </c>
      <c r="G158" s="147">
        <v>0</v>
      </c>
      <c r="H158" s="316">
        <v>0</v>
      </c>
      <c r="I158" s="535">
        <f t="shared" si="4"/>
        <v>0</v>
      </c>
    </row>
    <row r="159" spans="1:9" ht="10.5" customHeight="1" x14ac:dyDescent="0.15">
      <c r="A159" s="35"/>
      <c r="B159" s="152" t="s">
        <v>122</v>
      </c>
      <c r="C159" s="115" t="s">
        <v>123</v>
      </c>
      <c r="D159" s="147">
        <v>0</v>
      </c>
      <c r="E159" s="147">
        <v>0</v>
      </c>
      <c r="F159" s="147">
        <v>0</v>
      </c>
      <c r="G159" s="147">
        <v>0</v>
      </c>
      <c r="H159" s="316">
        <v>0</v>
      </c>
      <c r="I159" s="535">
        <f t="shared" si="4"/>
        <v>0</v>
      </c>
    </row>
    <row r="160" spans="1:9" ht="10.5" customHeight="1" x14ac:dyDescent="0.15">
      <c r="A160" s="35"/>
      <c r="B160" s="152" t="s">
        <v>1581</v>
      </c>
      <c r="C160" s="115" t="s">
        <v>124</v>
      </c>
      <c r="D160" s="147">
        <v>0</v>
      </c>
      <c r="E160" s="147">
        <v>0</v>
      </c>
      <c r="F160" s="147">
        <v>0</v>
      </c>
      <c r="G160" s="147">
        <v>0</v>
      </c>
      <c r="H160" s="316">
        <v>0</v>
      </c>
      <c r="I160" s="535">
        <f t="shared" si="4"/>
        <v>0</v>
      </c>
    </row>
    <row r="161" spans="1:9" ht="10.5" customHeight="1" x14ac:dyDescent="0.15">
      <c r="A161" s="35"/>
      <c r="B161" s="152" t="s">
        <v>125</v>
      </c>
      <c r="C161" s="115" t="s">
        <v>133</v>
      </c>
      <c r="D161" s="147">
        <v>0</v>
      </c>
      <c r="E161" s="147">
        <v>0</v>
      </c>
      <c r="F161" s="147">
        <v>0</v>
      </c>
      <c r="G161" s="147">
        <v>0</v>
      </c>
      <c r="H161" s="316">
        <v>0</v>
      </c>
      <c r="I161" s="535">
        <f t="shared" si="4"/>
        <v>0</v>
      </c>
    </row>
    <row r="162" spans="1:9" ht="10.5" customHeight="1" x14ac:dyDescent="0.15">
      <c r="A162" s="35"/>
      <c r="B162" s="152" t="s">
        <v>126</v>
      </c>
      <c r="C162" s="115" t="s">
        <v>187</v>
      </c>
      <c r="D162" s="147">
        <v>0</v>
      </c>
      <c r="E162" s="147">
        <v>0</v>
      </c>
      <c r="F162" s="147">
        <v>0</v>
      </c>
      <c r="G162" s="147">
        <v>0</v>
      </c>
      <c r="H162" s="316">
        <v>0</v>
      </c>
      <c r="I162" s="535">
        <f t="shared" si="4"/>
        <v>0</v>
      </c>
    </row>
    <row r="163" spans="1:9" ht="10.5" customHeight="1" x14ac:dyDescent="0.15">
      <c r="A163" s="35"/>
      <c r="B163" s="152" t="s">
        <v>127</v>
      </c>
      <c r="C163" s="115" t="s">
        <v>134</v>
      </c>
      <c r="D163" s="147">
        <v>0</v>
      </c>
      <c r="E163" s="147">
        <v>0</v>
      </c>
      <c r="F163" s="147">
        <v>0</v>
      </c>
      <c r="G163" s="147">
        <v>0</v>
      </c>
      <c r="H163" s="316">
        <v>0</v>
      </c>
      <c r="I163" s="535">
        <f t="shared" si="4"/>
        <v>0</v>
      </c>
    </row>
    <row r="164" spans="1:9" ht="10.5" customHeight="1" x14ac:dyDescent="0.15">
      <c r="A164" s="35"/>
      <c r="B164" s="152" t="s">
        <v>128</v>
      </c>
      <c r="C164" s="115" t="s">
        <v>135</v>
      </c>
      <c r="D164" s="147">
        <v>0</v>
      </c>
      <c r="E164" s="147">
        <v>0</v>
      </c>
      <c r="F164" s="147">
        <v>0</v>
      </c>
      <c r="G164" s="147">
        <v>0</v>
      </c>
      <c r="H164" s="316">
        <v>0</v>
      </c>
      <c r="I164" s="535">
        <f t="shared" si="4"/>
        <v>0</v>
      </c>
    </row>
    <row r="165" spans="1:9" ht="10.5" customHeight="1" x14ac:dyDescent="0.15">
      <c r="A165" s="35"/>
      <c r="B165" s="152" t="s">
        <v>129</v>
      </c>
      <c r="C165" s="115" t="s">
        <v>136</v>
      </c>
      <c r="D165" s="147">
        <v>0</v>
      </c>
      <c r="E165" s="147">
        <v>0</v>
      </c>
      <c r="F165" s="147">
        <v>0</v>
      </c>
      <c r="G165" s="147">
        <v>0</v>
      </c>
      <c r="H165" s="316">
        <v>0</v>
      </c>
      <c r="I165" s="535">
        <f t="shared" si="4"/>
        <v>0</v>
      </c>
    </row>
    <row r="166" spans="1:9" ht="10.5" customHeight="1" x14ac:dyDescent="0.15">
      <c r="A166" s="35"/>
      <c r="B166" s="152" t="s">
        <v>130</v>
      </c>
      <c r="C166" s="115" t="s">
        <v>188</v>
      </c>
      <c r="D166" s="147">
        <v>0</v>
      </c>
      <c r="E166" s="147">
        <v>0</v>
      </c>
      <c r="F166" s="147">
        <v>0</v>
      </c>
      <c r="G166" s="147">
        <v>0</v>
      </c>
      <c r="H166" s="316">
        <v>0</v>
      </c>
      <c r="I166" s="535">
        <f t="shared" si="4"/>
        <v>0</v>
      </c>
    </row>
    <row r="167" spans="1:9" ht="10.5" customHeight="1" x14ac:dyDescent="0.15">
      <c r="A167" s="35"/>
      <c r="B167" s="152" t="s">
        <v>131</v>
      </c>
      <c r="C167" s="115" t="s">
        <v>137</v>
      </c>
      <c r="D167" s="147">
        <v>0</v>
      </c>
      <c r="E167" s="147">
        <v>0</v>
      </c>
      <c r="F167" s="147">
        <v>0</v>
      </c>
      <c r="G167" s="147">
        <v>0</v>
      </c>
      <c r="H167" s="316">
        <v>0</v>
      </c>
      <c r="I167" s="535">
        <f t="shared" si="4"/>
        <v>0</v>
      </c>
    </row>
    <row r="168" spans="1:9" ht="10.5" customHeight="1" x14ac:dyDescent="0.15">
      <c r="A168" s="35"/>
      <c r="B168" s="152" t="s">
        <v>132</v>
      </c>
      <c r="C168" s="115" t="s">
        <v>1617</v>
      </c>
      <c r="D168" s="147">
        <v>0</v>
      </c>
      <c r="E168" s="147">
        <v>0</v>
      </c>
      <c r="F168" s="147">
        <v>0</v>
      </c>
      <c r="G168" s="147">
        <v>0</v>
      </c>
      <c r="H168" s="316">
        <v>0</v>
      </c>
      <c r="I168" s="535">
        <f t="shared" si="4"/>
        <v>0</v>
      </c>
    </row>
    <row r="169" spans="1:9" ht="10.5" customHeight="1" x14ac:dyDescent="0.15">
      <c r="A169" s="35"/>
      <c r="B169" s="152" t="s">
        <v>1624</v>
      </c>
      <c r="C169" s="115" t="s">
        <v>840</v>
      </c>
      <c r="D169" s="147">
        <v>0</v>
      </c>
      <c r="E169" s="147">
        <v>0</v>
      </c>
      <c r="F169" s="147">
        <v>0</v>
      </c>
      <c r="G169" s="147">
        <v>0</v>
      </c>
      <c r="H169" s="316">
        <v>0</v>
      </c>
      <c r="I169" s="535">
        <f t="shared" si="4"/>
        <v>0</v>
      </c>
    </row>
    <row r="170" spans="1:9" ht="10.5" customHeight="1" x14ac:dyDescent="0.15">
      <c r="A170" s="35"/>
      <c r="B170" s="152" t="s">
        <v>1625</v>
      </c>
      <c r="C170" s="115" t="s">
        <v>842</v>
      </c>
      <c r="D170" s="147">
        <v>0</v>
      </c>
      <c r="E170" s="147">
        <v>0</v>
      </c>
      <c r="F170" s="147">
        <v>0</v>
      </c>
      <c r="G170" s="147">
        <v>0</v>
      </c>
      <c r="H170" s="316">
        <v>0</v>
      </c>
      <c r="I170" s="535">
        <f t="shared" si="4"/>
        <v>0</v>
      </c>
    </row>
    <row r="171" spans="1:9" ht="10.5" customHeight="1" x14ac:dyDescent="0.15">
      <c r="A171" s="35"/>
      <c r="B171" s="152" t="s">
        <v>843</v>
      </c>
      <c r="C171" s="115" t="s">
        <v>848</v>
      </c>
      <c r="D171" s="147">
        <v>0</v>
      </c>
      <c r="E171" s="147">
        <v>0</v>
      </c>
      <c r="F171" s="147">
        <v>0</v>
      </c>
      <c r="G171" s="147">
        <v>0</v>
      </c>
      <c r="H171" s="316">
        <v>0</v>
      </c>
      <c r="I171" s="535">
        <f t="shared" si="4"/>
        <v>0</v>
      </c>
    </row>
    <row r="172" spans="1:9" ht="10.5" customHeight="1" x14ac:dyDescent="0.15">
      <c r="A172" s="35"/>
      <c r="B172" s="152" t="s">
        <v>844</v>
      </c>
      <c r="C172" s="115" t="s">
        <v>186</v>
      </c>
      <c r="D172" s="147">
        <v>0</v>
      </c>
      <c r="E172" s="147">
        <v>0</v>
      </c>
      <c r="F172" s="147">
        <v>0</v>
      </c>
      <c r="G172" s="147">
        <v>0</v>
      </c>
      <c r="H172" s="316">
        <v>0</v>
      </c>
      <c r="I172" s="535">
        <f t="shared" si="4"/>
        <v>0</v>
      </c>
    </row>
    <row r="173" spans="1:9" ht="10.5" customHeight="1" x14ac:dyDescent="0.15">
      <c r="A173" s="35"/>
      <c r="B173" s="152" t="s">
        <v>845</v>
      </c>
      <c r="C173" s="115" t="s">
        <v>154</v>
      </c>
      <c r="D173" s="147">
        <v>0</v>
      </c>
      <c r="E173" s="147">
        <v>0</v>
      </c>
      <c r="F173" s="147">
        <v>0</v>
      </c>
      <c r="G173" s="147">
        <v>0</v>
      </c>
      <c r="H173" s="316">
        <v>0</v>
      </c>
      <c r="I173" s="535">
        <f t="shared" si="4"/>
        <v>0</v>
      </c>
    </row>
    <row r="174" spans="1:9" ht="10.5" customHeight="1" x14ac:dyDescent="0.15">
      <c r="A174" s="35"/>
      <c r="B174" s="152" t="s">
        <v>846</v>
      </c>
      <c r="C174" s="115" t="s">
        <v>155</v>
      </c>
      <c r="D174" s="147">
        <v>0</v>
      </c>
      <c r="E174" s="147">
        <v>0</v>
      </c>
      <c r="F174" s="147">
        <v>0</v>
      </c>
      <c r="G174" s="147">
        <v>0</v>
      </c>
      <c r="H174" s="316">
        <v>0</v>
      </c>
      <c r="I174" s="535">
        <f t="shared" si="4"/>
        <v>0</v>
      </c>
    </row>
    <row r="175" spans="1:9" ht="10.5" customHeight="1" x14ac:dyDescent="0.15">
      <c r="A175" s="35"/>
      <c r="B175" s="152" t="s">
        <v>1582</v>
      </c>
      <c r="C175" s="115" t="s">
        <v>156</v>
      </c>
      <c r="D175" s="147">
        <v>0</v>
      </c>
      <c r="E175" s="147">
        <v>0</v>
      </c>
      <c r="F175" s="147">
        <v>0</v>
      </c>
      <c r="G175" s="147">
        <v>0</v>
      </c>
      <c r="H175" s="316">
        <v>0</v>
      </c>
      <c r="I175" s="535">
        <f t="shared" si="4"/>
        <v>0</v>
      </c>
    </row>
    <row r="176" spans="1:9" ht="10.5" customHeight="1" x14ac:dyDescent="0.15">
      <c r="A176" s="35"/>
      <c r="B176" s="152" t="s">
        <v>847</v>
      </c>
      <c r="C176" s="115" t="s">
        <v>157</v>
      </c>
      <c r="D176" s="147">
        <v>0</v>
      </c>
      <c r="E176" s="147">
        <v>0</v>
      </c>
      <c r="F176" s="147">
        <v>0</v>
      </c>
      <c r="G176" s="147">
        <v>0</v>
      </c>
      <c r="H176" s="316">
        <v>0</v>
      </c>
      <c r="I176" s="535">
        <f t="shared" si="4"/>
        <v>0</v>
      </c>
    </row>
    <row r="177" spans="1:9" ht="10.5" customHeight="1" x14ac:dyDescent="0.15">
      <c r="A177" s="35"/>
      <c r="B177" s="152" t="s">
        <v>1583</v>
      </c>
      <c r="C177" s="115" t="s">
        <v>160</v>
      </c>
      <c r="D177" s="147">
        <v>0</v>
      </c>
      <c r="E177" s="147">
        <v>0</v>
      </c>
      <c r="F177" s="147">
        <v>0</v>
      </c>
      <c r="G177" s="147">
        <v>0</v>
      </c>
      <c r="H177" s="316">
        <v>0</v>
      </c>
      <c r="I177" s="535">
        <f t="shared" si="4"/>
        <v>0</v>
      </c>
    </row>
    <row r="178" spans="1:9" ht="10.5" customHeight="1" x14ac:dyDescent="0.15">
      <c r="A178" s="35"/>
      <c r="B178" s="152" t="s">
        <v>634</v>
      </c>
      <c r="C178" s="115" t="s">
        <v>165</v>
      </c>
      <c r="D178" s="147">
        <v>0</v>
      </c>
      <c r="E178" s="147">
        <v>0</v>
      </c>
      <c r="F178" s="147">
        <v>0</v>
      </c>
      <c r="G178" s="147">
        <v>0</v>
      </c>
      <c r="H178" s="316">
        <v>0</v>
      </c>
      <c r="I178" s="535">
        <f t="shared" si="4"/>
        <v>0</v>
      </c>
    </row>
    <row r="179" spans="1:9" ht="10.5" customHeight="1" x14ac:dyDescent="0.15">
      <c r="A179" s="35"/>
      <c r="B179" s="152" t="s">
        <v>630</v>
      </c>
      <c r="C179" s="115" t="s">
        <v>172</v>
      </c>
      <c r="D179" s="147">
        <v>0</v>
      </c>
      <c r="E179" s="147">
        <v>0</v>
      </c>
      <c r="F179" s="147">
        <v>0</v>
      </c>
      <c r="G179" s="147">
        <v>0</v>
      </c>
      <c r="H179" s="316">
        <v>0</v>
      </c>
      <c r="I179" s="535">
        <f t="shared" si="4"/>
        <v>0</v>
      </c>
    </row>
    <row r="180" spans="1:9" ht="10.5" customHeight="1" x14ac:dyDescent="0.15">
      <c r="A180" s="35"/>
      <c r="B180" s="652" t="s">
        <v>631</v>
      </c>
      <c r="C180" s="653" t="s">
        <v>173</v>
      </c>
      <c r="D180" s="147">
        <v>0</v>
      </c>
      <c r="E180" s="147">
        <v>0</v>
      </c>
      <c r="F180" s="147">
        <v>0</v>
      </c>
      <c r="G180" s="147">
        <v>0</v>
      </c>
      <c r="H180" s="316">
        <v>0</v>
      </c>
      <c r="I180" s="535">
        <f t="shared" si="4"/>
        <v>0</v>
      </c>
    </row>
    <row r="181" spans="1:9" ht="10.5" customHeight="1" x14ac:dyDescent="0.15">
      <c r="A181" s="35"/>
      <c r="B181" s="152" t="s">
        <v>1584</v>
      </c>
      <c r="C181" s="115" t="s">
        <v>178</v>
      </c>
      <c r="D181" s="147">
        <v>0</v>
      </c>
      <c r="E181" s="147">
        <v>0</v>
      </c>
      <c r="F181" s="147">
        <v>0</v>
      </c>
      <c r="G181" s="147">
        <v>0</v>
      </c>
      <c r="H181" s="316">
        <v>0</v>
      </c>
      <c r="I181" s="535">
        <f t="shared" si="4"/>
        <v>0</v>
      </c>
    </row>
    <row r="182" spans="1:9" ht="10.5" customHeight="1" x14ac:dyDescent="0.15">
      <c r="A182" s="35"/>
      <c r="B182" s="152" t="s">
        <v>174</v>
      </c>
      <c r="C182" s="115" t="s">
        <v>179</v>
      </c>
      <c r="D182" s="147">
        <v>0</v>
      </c>
      <c r="E182" s="147">
        <v>0</v>
      </c>
      <c r="F182" s="147">
        <v>0</v>
      </c>
      <c r="G182" s="147">
        <v>0</v>
      </c>
      <c r="H182" s="316">
        <v>0</v>
      </c>
      <c r="I182" s="535">
        <f t="shared" si="4"/>
        <v>0</v>
      </c>
    </row>
    <row r="183" spans="1:9" ht="10.5" customHeight="1" x14ac:dyDescent="0.15">
      <c r="A183" s="35"/>
      <c r="B183" s="152" t="s">
        <v>175</v>
      </c>
      <c r="C183" s="115" t="s">
        <v>180</v>
      </c>
      <c r="D183" s="147">
        <v>0</v>
      </c>
      <c r="E183" s="147">
        <v>0</v>
      </c>
      <c r="F183" s="147">
        <v>0</v>
      </c>
      <c r="G183" s="147">
        <v>0</v>
      </c>
      <c r="H183" s="316">
        <v>0</v>
      </c>
      <c r="I183" s="535">
        <f t="shared" si="4"/>
        <v>0</v>
      </c>
    </row>
    <row r="184" spans="1:9" ht="10.5" customHeight="1" x14ac:dyDescent="0.15">
      <c r="A184" s="35"/>
      <c r="B184" s="152" t="s">
        <v>176</v>
      </c>
      <c r="C184" s="115" t="s">
        <v>181</v>
      </c>
      <c r="D184" s="147">
        <v>0</v>
      </c>
      <c r="E184" s="147">
        <v>0</v>
      </c>
      <c r="F184" s="147">
        <v>0</v>
      </c>
      <c r="G184" s="147">
        <v>0</v>
      </c>
      <c r="H184" s="316">
        <v>0</v>
      </c>
      <c r="I184" s="535">
        <f t="shared" si="4"/>
        <v>0</v>
      </c>
    </row>
    <row r="185" spans="1:9" ht="10.5" customHeight="1" x14ac:dyDescent="0.15">
      <c r="A185" s="35"/>
      <c r="B185" s="152" t="s">
        <v>177</v>
      </c>
      <c r="C185" s="115" t="s">
        <v>182</v>
      </c>
      <c r="D185" s="147">
        <v>0</v>
      </c>
      <c r="E185" s="147">
        <v>0</v>
      </c>
      <c r="F185" s="147">
        <v>0</v>
      </c>
      <c r="G185" s="147">
        <v>0</v>
      </c>
      <c r="H185" s="316">
        <v>0</v>
      </c>
      <c r="I185" s="535">
        <f t="shared" si="4"/>
        <v>0</v>
      </c>
    </row>
    <row r="186" spans="1:9" ht="10.5" customHeight="1" thickBot="1" x14ac:dyDescent="0.2">
      <c r="A186" s="35"/>
      <c r="B186" s="152" t="s">
        <v>632</v>
      </c>
      <c r="C186" s="115" t="s">
        <v>183</v>
      </c>
      <c r="D186" s="144">
        <v>0</v>
      </c>
      <c r="E186" s="144">
        <v>0</v>
      </c>
      <c r="F186" s="144">
        <v>0</v>
      </c>
      <c r="G186" s="147">
        <v>0</v>
      </c>
      <c r="H186" s="317">
        <v>0</v>
      </c>
      <c r="I186" s="573">
        <f>SUM(G186+H186)</f>
        <v>0</v>
      </c>
    </row>
    <row r="187" spans="1:9" ht="10.5" customHeight="1" thickTop="1" thickBot="1" x14ac:dyDescent="0.2">
      <c r="B187" s="152"/>
      <c r="C187" s="115" t="s">
        <v>622</v>
      </c>
      <c r="D187" s="169">
        <f>SUM(D152:D186)</f>
        <v>0</v>
      </c>
      <c r="E187" s="169">
        <f>SUM(E152:E186)</f>
        <v>0</v>
      </c>
      <c r="F187" s="169">
        <f>SUM(F152:F186)</f>
        <v>0</v>
      </c>
      <c r="G187" s="169">
        <f>SUM(G152:G186)</f>
        <v>0</v>
      </c>
      <c r="H187" s="169">
        <f>SUM(H152:H186)</f>
        <v>0</v>
      </c>
      <c r="I187" s="304">
        <f>SUM(G187+H187)</f>
        <v>0</v>
      </c>
    </row>
    <row r="188" spans="1:9" ht="10.5" customHeight="1" thickTop="1" x14ac:dyDescent="0.15">
      <c r="B188" s="152"/>
      <c r="C188" s="115"/>
      <c r="D188" s="14"/>
      <c r="E188" s="14"/>
      <c r="F188" s="14"/>
      <c r="G188" s="14"/>
      <c r="H188" s="305"/>
      <c r="I188" s="305"/>
    </row>
    <row r="189" spans="1:9" ht="10.5" customHeight="1" x14ac:dyDescent="0.15">
      <c r="A189" s="35" t="s">
        <v>623</v>
      </c>
      <c r="C189" s="115"/>
      <c r="D189" s="14"/>
      <c r="E189" s="14"/>
      <c r="F189" s="14"/>
      <c r="G189" s="14"/>
      <c r="H189" s="305"/>
      <c r="I189" s="305"/>
    </row>
    <row r="190" spans="1:9" s="309" customFormat="1" x14ac:dyDescent="0.15">
      <c r="B190" s="311" t="s">
        <v>1577</v>
      </c>
      <c r="C190" s="312" t="s">
        <v>228</v>
      </c>
      <c r="D190" s="316">
        <v>0</v>
      </c>
      <c r="E190" s="316">
        <v>0</v>
      </c>
      <c r="F190" s="316">
        <v>0</v>
      </c>
      <c r="G190" s="528">
        <f t="array" ref="G190">SUM(IF(CertFund&amp;CertProg&amp;CertObj=RIGHT(LEFT($A$2,7),2)&amp;LEFT(A189,4)&amp;B190,CertSalary))</f>
        <v>0</v>
      </c>
      <c r="H190" s="527">
        <v>0</v>
      </c>
      <c r="I190" s="566">
        <f>SUM(G190+H190)</f>
        <v>0</v>
      </c>
    </row>
    <row r="191" spans="1:9" s="309" customFormat="1" x14ac:dyDescent="0.15">
      <c r="B191" s="311" t="s">
        <v>1577</v>
      </c>
      <c r="C191" s="312" t="s">
        <v>510</v>
      </c>
      <c r="D191" s="316">
        <v>0</v>
      </c>
      <c r="E191" s="316">
        <v>0</v>
      </c>
      <c r="F191" s="316">
        <v>0</v>
      </c>
      <c r="G191" s="316">
        <v>0</v>
      </c>
      <c r="H191" s="527">
        <v>0</v>
      </c>
      <c r="I191" s="566">
        <f>SUM(G191+H191)</f>
        <v>0</v>
      </c>
    </row>
    <row r="192" spans="1:9" s="309" customFormat="1" x14ac:dyDescent="0.15">
      <c r="A192" s="312"/>
      <c r="B192" s="311" t="s">
        <v>1578</v>
      </c>
      <c r="C192" s="312" t="s">
        <v>936</v>
      </c>
      <c r="D192" s="316">
        <v>0</v>
      </c>
      <c r="E192" s="316">
        <v>0</v>
      </c>
      <c r="F192" s="316">
        <v>0</v>
      </c>
      <c r="G192" s="529">
        <f t="array" ref="G192">SUM(IF(CertFund&amp;CertProg&amp;CertObj=RIGHT(LEFT($A$2,7),2)&amp;LEFT(A189,4)&amp;B190,CertBen))</f>
        <v>0</v>
      </c>
      <c r="H192" s="527">
        <v>0</v>
      </c>
      <c r="I192" s="566">
        <f>SUM(G192+H192)</f>
        <v>0</v>
      </c>
    </row>
    <row r="193" spans="1:10" x14ac:dyDescent="0.15">
      <c r="A193" s="115"/>
      <c r="B193" s="152" t="s">
        <v>1578</v>
      </c>
      <c r="C193" s="115" t="s">
        <v>511</v>
      </c>
      <c r="D193" s="147">
        <v>0</v>
      </c>
      <c r="E193" s="147">
        <v>0</v>
      </c>
      <c r="F193" s="147">
        <v>0</v>
      </c>
      <c r="G193" s="147">
        <v>0</v>
      </c>
      <c r="H193" s="150">
        <v>0</v>
      </c>
      <c r="I193" s="567">
        <f>SUM(G193+H193)</f>
        <v>0</v>
      </c>
      <c r="J193" s="309"/>
    </row>
    <row r="194" spans="1:10" ht="10.5" customHeight="1" x14ac:dyDescent="0.15">
      <c r="A194" s="35"/>
      <c r="B194" s="152" t="s">
        <v>1579</v>
      </c>
      <c r="C194" s="115" t="s">
        <v>118</v>
      </c>
      <c r="D194" s="147">
        <v>0</v>
      </c>
      <c r="E194" s="147">
        <v>0</v>
      </c>
      <c r="F194" s="147">
        <v>0</v>
      </c>
      <c r="G194" s="147">
        <v>0</v>
      </c>
      <c r="H194" s="316">
        <v>0</v>
      </c>
      <c r="I194" s="535">
        <f t="shared" ref="I194:I217" si="5">SUM(G194+H194)</f>
        <v>0</v>
      </c>
    </row>
    <row r="195" spans="1:10" ht="10.5" customHeight="1" x14ac:dyDescent="0.15">
      <c r="A195" s="35"/>
      <c r="B195" s="152" t="s">
        <v>1580</v>
      </c>
      <c r="C195" s="115" t="s">
        <v>119</v>
      </c>
      <c r="D195" s="147">
        <v>0</v>
      </c>
      <c r="E195" s="147">
        <v>0</v>
      </c>
      <c r="F195" s="147">
        <v>0</v>
      </c>
      <c r="G195" s="147">
        <v>0</v>
      </c>
      <c r="H195" s="316">
        <v>0</v>
      </c>
      <c r="I195" s="535">
        <f t="shared" si="5"/>
        <v>0</v>
      </c>
    </row>
    <row r="196" spans="1:10" ht="10.5" customHeight="1" x14ac:dyDescent="0.15">
      <c r="A196" s="35"/>
      <c r="B196" s="152" t="s">
        <v>120</v>
      </c>
      <c r="C196" s="115" t="s">
        <v>121</v>
      </c>
      <c r="D196" s="147">
        <v>0</v>
      </c>
      <c r="E196" s="147">
        <v>0</v>
      </c>
      <c r="F196" s="147">
        <v>0</v>
      </c>
      <c r="G196" s="147">
        <v>0</v>
      </c>
      <c r="H196" s="316">
        <v>0</v>
      </c>
      <c r="I196" s="535">
        <f t="shared" si="5"/>
        <v>0</v>
      </c>
    </row>
    <row r="197" spans="1:10" ht="10.5" customHeight="1" x14ac:dyDescent="0.15">
      <c r="A197" s="35"/>
      <c r="B197" s="152" t="s">
        <v>122</v>
      </c>
      <c r="C197" s="115" t="s">
        <v>123</v>
      </c>
      <c r="D197" s="147">
        <v>0</v>
      </c>
      <c r="E197" s="147">
        <v>0</v>
      </c>
      <c r="F197" s="147">
        <v>0</v>
      </c>
      <c r="G197" s="147">
        <v>0</v>
      </c>
      <c r="H197" s="316">
        <v>0</v>
      </c>
      <c r="I197" s="535">
        <f t="shared" si="5"/>
        <v>0</v>
      </c>
    </row>
    <row r="198" spans="1:10" ht="10.5" customHeight="1" x14ac:dyDescent="0.15">
      <c r="A198" s="35"/>
      <c r="B198" s="152" t="s">
        <v>1581</v>
      </c>
      <c r="C198" s="115" t="s">
        <v>124</v>
      </c>
      <c r="D198" s="147">
        <v>0</v>
      </c>
      <c r="E198" s="147">
        <v>0</v>
      </c>
      <c r="F198" s="147">
        <v>0</v>
      </c>
      <c r="G198" s="147">
        <v>0</v>
      </c>
      <c r="H198" s="316">
        <v>0</v>
      </c>
      <c r="I198" s="535">
        <f t="shared" si="5"/>
        <v>0</v>
      </c>
    </row>
    <row r="199" spans="1:10" ht="10.5" customHeight="1" x14ac:dyDescent="0.15">
      <c r="A199" s="35"/>
      <c r="B199" s="152" t="s">
        <v>1624</v>
      </c>
      <c r="C199" s="115" t="s">
        <v>840</v>
      </c>
      <c r="D199" s="147">
        <v>0</v>
      </c>
      <c r="E199" s="147">
        <v>0</v>
      </c>
      <c r="F199" s="147">
        <v>0</v>
      </c>
      <c r="G199" s="147">
        <v>0</v>
      </c>
      <c r="H199" s="316">
        <v>0</v>
      </c>
      <c r="I199" s="535">
        <f t="shared" si="5"/>
        <v>0</v>
      </c>
    </row>
    <row r="200" spans="1:10" ht="10.5" customHeight="1" x14ac:dyDescent="0.15">
      <c r="A200" s="35"/>
      <c r="B200" s="152" t="s">
        <v>1625</v>
      </c>
      <c r="C200" s="115" t="s">
        <v>842</v>
      </c>
      <c r="D200" s="147">
        <v>0</v>
      </c>
      <c r="E200" s="147">
        <v>0</v>
      </c>
      <c r="F200" s="147">
        <v>0</v>
      </c>
      <c r="G200" s="147">
        <v>0</v>
      </c>
      <c r="H200" s="316">
        <v>0</v>
      </c>
      <c r="I200" s="535">
        <f t="shared" si="5"/>
        <v>0</v>
      </c>
    </row>
    <row r="201" spans="1:10" ht="10.5" customHeight="1" x14ac:dyDescent="0.15">
      <c r="A201" s="35"/>
      <c r="B201" s="152" t="s">
        <v>843</v>
      </c>
      <c r="C201" s="115" t="s">
        <v>848</v>
      </c>
      <c r="D201" s="147">
        <v>0</v>
      </c>
      <c r="E201" s="147">
        <v>0</v>
      </c>
      <c r="F201" s="147">
        <v>0</v>
      </c>
      <c r="G201" s="147">
        <v>0</v>
      </c>
      <c r="H201" s="316">
        <v>0</v>
      </c>
      <c r="I201" s="535">
        <f t="shared" si="5"/>
        <v>0</v>
      </c>
    </row>
    <row r="202" spans="1:10" ht="10.5" customHeight="1" x14ac:dyDescent="0.15">
      <c r="A202" s="35"/>
      <c r="B202" s="152" t="s">
        <v>844</v>
      </c>
      <c r="C202" s="115" t="s">
        <v>186</v>
      </c>
      <c r="D202" s="147">
        <v>0</v>
      </c>
      <c r="E202" s="147">
        <v>0</v>
      </c>
      <c r="F202" s="147">
        <v>0</v>
      </c>
      <c r="G202" s="147">
        <v>0</v>
      </c>
      <c r="H202" s="316">
        <v>0</v>
      </c>
      <c r="I202" s="535">
        <f t="shared" si="5"/>
        <v>0</v>
      </c>
    </row>
    <row r="203" spans="1:10" ht="10.5" customHeight="1" x14ac:dyDescent="0.15">
      <c r="A203" s="35"/>
      <c r="B203" s="152" t="s">
        <v>845</v>
      </c>
      <c r="C203" s="115" t="s">
        <v>154</v>
      </c>
      <c r="D203" s="147">
        <v>0</v>
      </c>
      <c r="E203" s="147">
        <v>0</v>
      </c>
      <c r="F203" s="147">
        <v>0</v>
      </c>
      <c r="G203" s="147">
        <v>0</v>
      </c>
      <c r="H203" s="316">
        <v>0</v>
      </c>
      <c r="I203" s="535">
        <f t="shared" si="5"/>
        <v>0</v>
      </c>
    </row>
    <row r="204" spans="1:10" ht="10.5" customHeight="1" x14ac:dyDescent="0.15">
      <c r="A204" s="35"/>
      <c r="B204" s="152" t="s">
        <v>846</v>
      </c>
      <c r="C204" s="115" t="s">
        <v>155</v>
      </c>
      <c r="D204" s="147">
        <v>0</v>
      </c>
      <c r="E204" s="147">
        <v>0</v>
      </c>
      <c r="F204" s="147">
        <v>0</v>
      </c>
      <c r="G204" s="147">
        <v>0</v>
      </c>
      <c r="H204" s="316">
        <v>0</v>
      </c>
      <c r="I204" s="535">
        <f t="shared" si="5"/>
        <v>0</v>
      </c>
    </row>
    <row r="205" spans="1:10" ht="10.5" customHeight="1" x14ac:dyDescent="0.15">
      <c r="A205" s="35"/>
      <c r="B205" s="152" t="s">
        <v>332</v>
      </c>
      <c r="C205" s="115" t="s">
        <v>463</v>
      </c>
      <c r="D205" s="147">
        <v>0</v>
      </c>
      <c r="E205" s="147">
        <v>0</v>
      </c>
      <c r="F205" s="147">
        <v>0</v>
      </c>
      <c r="G205" s="147">
        <v>0</v>
      </c>
      <c r="H205" s="316">
        <v>0</v>
      </c>
      <c r="I205" s="535">
        <f t="shared" si="5"/>
        <v>0</v>
      </c>
    </row>
    <row r="206" spans="1:10" ht="10.5" customHeight="1" x14ac:dyDescent="0.15">
      <c r="A206" s="35"/>
      <c r="B206" s="152" t="s">
        <v>1582</v>
      </c>
      <c r="C206" s="115" t="s">
        <v>156</v>
      </c>
      <c r="D206" s="147">
        <v>0</v>
      </c>
      <c r="E206" s="147">
        <v>0</v>
      </c>
      <c r="F206" s="147">
        <v>0</v>
      </c>
      <c r="G206" s="147">
        <v>0</v>
      </c>
      <c r="H206" s="316">
        <v>0</v>
      </c>
      <c r="I206" s="535">
        <f t="shared" si="5"/>
        <v>0</v>
      </c>
    </row>
    <row r="207" spans="1:10" ht="10.5" customHeight="1" x14ac:dyDescent="0.15">
      <c r="A207" s="35"/>
      <c r="B207" s="152" t="s">
        <v>847</v>
      </c>
      <c r="C207" s="115" t="s">
        <v>157</v>
      </c>
      <c r="D207" s="147">
        <v>0</v>
      </c>
      <c r="E207" s="147">
        <v>0</v>
      </c>
      <c r="F207" s="147">
        <v>0</v>
      </c>
      <c r="G207" s="147">
        <v>0</v>
      </c>
      <c r="H207" s="316">
        <v>0</v>
      </c>
      <c r="I207" s="535">
        <f t="shared" si="5"/>
        <v>0</v>
      </c>
    </row>
    <row r="208" spans="1:10" ht="10.5" customHeight="1" x14ac:dyDescent="0.15">
      <c r="A208" s="35"/>
      <c r="B208" s="152" t="s">
        <v>1583</v>
      </c>
      <c r="C208" s="115" t="s">
        <v>160</v>
      </c>
      <c r="D208" s="147">
        <v>0</v>
      </c>
      <c r="E208" s="147">
        <v>0</v>
      </c>
      <c r="F208" s="147">
        <v>0</v>
      </c>
      <c r="G208" s="147">
        <v>0</v>
      </c>
      <c r="H208" s="316">
        <v>0</v>
      </c>
      <c r="I208" s="535">
        <f t="shared" si="5"/>
        <v>0</v>
      </c>
    </row>
    <row r="209" spans="1:10" ht="10.5" customHeight="1" x14ac:dyDescent="0.15">
      <c r="A209" s="35"/>
      <c r="B209" s="152" t="s">
        <v>634</v>
      </c>
      <c r="C209" s="115" t="s">
        <v>165</v>
      </c>
      <c r="D209" s="147">
        <v>0</v>
      </c>
      <c r="E209" s="147">
        <v>0</v>
      </c>
      <c r="F209" s="147">
        <v>0</v>
      </c>
      <c r="G209" s="147">
        <v>0</v>
      </c>
      <c r="H209" s="316">
        <v>0</v>
      </c>
      <c r="I209" s="535">
        <f t="shared" si="5"/>
        <v>0</v>
      </c>
    </row>
    <row r="210" spans="1:10" ht="10.5" customHeight="1" x14ac:dyDescent="0.15">
      <c r="A210" s="35"/>
      <c r="B210" s="152" t="s">
        <v>630</v>
      </c>
      <c r="C210" s="115" t="s">
        <v>172</v>
      </c>
      <c r="D210" s="147">
        <v>0</v>
      </c>
      <c r="E210" s="147">
        <v>0</v>
      </c>
      <c r="F210" s="147">
        <v>0</v>
      </c>
      <c r="G210" s="147">
        <v>0</v>
      </c>
      <c r="H210" s="316">
        <v>0</v>
      </c>
      <c r="I210" s="535">
        <f t="shared" si="5"/>
        <v>0</v>
      </c>
    </row>
    <row r="211" spans="1:10" ht="10.5" customHeight="1" x14ac:dyDescent="0.15">
      <c r="A211" s="35"/>
      <c r="B211" s="652" t="s">
        <v>631</v>
      </c>
      <c r="C211" s="653" t="s">
        <v>173</v>
      </c>
      <c r="D211" s="147">
        <v>0</v>
      </c>
      <c r="E211" s="147">
        <v>0</v>
      </c>
      <c r="F211" s="147">
        <v>0</v>
      </c>
      <c r="G211" s="147">
        <v>0</v>
      </c>
      <c r="H211" s="316">
        <v>0</v>
      </c>
      <c r="I211" s="535">
        <f t="shared" si="5"/>
        <v>0</v>
      </c>
    </row>
    <row r="212" spans="1:10" ht="10.5" customHeight="1" x14ac:dyDescent="0.15">
      <c r="A212" s="35"/>
      <c r="B212" s="152" t="s">
        <v>1584</v>
      </c>
      <c r="C212" s="115" t="s">
        <v>178</v>
      </c>
      <c r="D212" s="147">
        <v>0</v>
      </c>
      <c r="E212" s="147">
        <v>0</v>
      </c>
      <c r="F212" s="147">
        <v>0</v>
      </c>
      <c r="G212" s="147">
        <v>0</v>
      </c>
      <c r="H212" s="316">
        <v>0</v>
      </c>
      <c r="I212" s="535">
        <f t="shared" si="5"/>
        <v>0</v>
      </c>
    </row>
    <row r="213" spans="1:10" ht="10.5" customHeight="1" x14ac:dyDescent="0.15">
      <c r="A213" s="35"/>
      <c r="B213" s="152" t="s">
        <v>174</v>
      </c>
      <c r="C213" s="115" t="s">
        <v>179</v>
      </c>
      <c r="D213" s="147">
        <v>0</v>
      </c>
      <c r="E213" s="147">
        <v>0</v>
      </c>
      <c r="F213" s="147">
        <v>0</v>
      </c>
      <c r="G213" s="147">
        <v>0</v>
      </c>
      <c r="H213" s="316">
        <v>0</v>
      </c>
      <c r="I213" s="535">
        <f t="shared" si="5"/>
        <v>0</v>
      </c>
    </row>
    <row r="214" spans="1:10" ht="10.5" customHeight="1" x14ac:dyDescent="0.15">
      <c r="A214" s="35"/>
      <c r="B214" s="152" t="s">
        <v>175</v>
      </c>
      <c r="C214" s="115" t="s">
        <v>180</v>
      </c>
      <c r="D214" s="147">
        <v>0</v>
      </c>
      <c r="E214" s="147">
        <v>0</v>
      </c>
      <c r="F214" s="147">
        <v>0</v>
      </c>
      <c r="G214" s="147">
        <v>0</v>
      </c>
      <c r="H214" s="316">
        <v>0</v>
      </c>
      <c r="I214" s="535">
        <f t="shared" si="5"/>
        <v>0</v>
      </c>
    </row>
    <row r="215" spans="1:10" ht="10.5" customHeight="1" x14ac:dyDescent="0.15">
      <c r="A215" s="35"/>
      <c r="B215" s="152" t="s">
        <v>176</v>
      </c>
      <c r="C215" s="115" t="s">
        <v>181</v>
      </c>
      <c r="D215" s="147">
        <v>0</v>
      </c>
      <c r="E215" s="147">
        <v>0</v>
      </c>
      <c r="F215" s="147">
        <v>0</v>
      </c>
      <c r="G215" s="147">
        <v>0</v>
      </c>
      <c r="H215" s="316">
        <v>0</v>
      </c>
      <c r="I215" s="535">
        <f t="shared" si="5"/>
        <v>0</v>
      </c>
    </row>
    <row r="216" spans="1:10" ht="10.5" customHeight="1" x14ac:dyDescent="0.15">
      <c r="A216" s="35"/>
      <c r="B216" s="152" t="s">
        <v>177</v>
      </c>
      <c r="C216" s="115" t="s">
        <v>182</v>
      </c>
      <c r="D216" s="147">
        <v>0</v>
      </c>
      <c r="E216" s="147">
        <v>0</v>
      </c>
      <c r="F216" s="147">
        <v>0</v>
      </c>
      <c r="G216" s="147">
        <v>0</v>
      </c>
      <c r="H216" s="316">
        <v>0</v>
      </c>
      <c r="I216" s="535">
        <f t="shared" si="5"/>
        <v>0</v>
      </c>
    </row>
    <row r="217" spans="1:10" ht="10.5" customHeight="1" thickBot="1" x14ac:dyDescent="0.2">
      <c r="A217" s="35"/>
      <c r="B217" s="152" t="s">
        <v>632</v>
      </c>
      <c r="C217" s="115" t="s">
        <v>183</v>
      </c>
      <c r="D217" s="144">
        <v>0</v>
      </c>
      <c r="E217" s="144">
        <v>0</v>
      </c>
      <c r="F217" s="144">
        <v>0</v>
      </c>
      <c r="G217" s="147">
        <v>0</v>
      </c>
      <c r="H217" s="318">
        <v>0</v>
      </c>
      <c r="I217" s="574">
        <f t="shared" si="5"/>
        <v>0</v>
      </c>
    </row>
    <row r="218" spans="1:10" ht="10.5" customHeight="1" thickTop="1" thickBot="1" x14ac:dyDescent="0.2">
      <c r="A218" s="35"/>
      <c r="B218" s="152"/>
      <c r="C218" s="115" t="s">
        <v>624</v>
      </c>
      <c r="D218" s="169">
        <f>SUM(D190:D217)</f>
        <v>0</v>
      </c>
      <c r="E218" s="169">
        <f>SUM(E190:E217)</f>
        <v>0</v>
      </c>
      <c r="F218" s="169">
        <f>SUM(F190:F217)</f>
        <v>0</v>
      </c>
      <c r="G218" s="169">
        <f>SUM(G190:G217)</f>
        <v>0</v>
      </c>
      <c r="H218" s="169">
        <f>SUM(H190:H217)</f>
        <v>0</v>
      </c>
      <c r="I218" s="304">
        <f>G218+H218</f>
        <v>0</v>
      </c>
    </row>
    <row r="219" spans="1:10" ht="10.5" customHeight="1" thickTop="1" x14ac:dyDescent="0.15">
      <c r="A219" s="35"/>
      <c r="B219" s="152"/>
      <c r="C219" s="115"/>
      <c r="D219" s="14"/>
      <c r="E219" s="14"/>
      <c r="F219" s="14"/>
      <c r="G219" s="14"/>
      <c r="H219" s="319"/>
      <c r="I219" s="571"/>
    </row>
    <row r="220" spans="1:10" ht="10.5" customHeight="1" x14ac:dyDescent="0.15">
      <c r="A220" s="35" t="s">
        <v>656</v>
      </c>
      <c r="C220" s="115"/>
      <c r="D220" s="14"/>
      <c r="E220" s="14"/>
      <c r="F220" s="14"/>
      <c r="G220" s="14"/>
      <c r="H220" s="315"/>
      <c r="I220" s="569"/>
    </row>
    <row r="221" spans="1:10" s="309" customFormat="1" x14ac:dyDescent="0.15">
      <c r="B221" s="311" t="s">
        <v>1577</v>
      </c>
      <c r="C221" s="312" t="s">
        <v>228</v>
      </c>
      <c r="D221" s="316">
        <v>0</v>
      </c>
      <c r="E221" s="316">
        <v>0</v>
      </c>
      <c r="F221" s="316">
        <v>0</v>
      </c>
      <c r="G221" s="528">
        <f t="array" ref="G221">SUM(IF(CertFund&amp;CertProg&amp;CertObj=RIGHT(LEFT($A$2,7),2)&amp;LEFT(A220,4)&amp;B221,CertSalary))</f>
        <v>0</v>
      </c>
      <c r="H221" s="527">
        <v>0</v>
      </c>
      <c r="I221" s="566">
        <f>SUM(G221+H221)</f>
        <v>0</v>
      </c>
    </row>
    <row r="222" spans="1:10" s="309" customFormat="1" x14ac:dyDescent="0.15">
      <c r="B222" s="311" t="s">
        <v>1577</v>
      </c>
      <c r="C222" s="312" t="s">
        <v>510</v>
      </c>
      <c r="D222" s="316">
        <v>0</v>
      </c>
      <c r="E222" s="316">
        <v>0</v>
      </c>
      <c r="F222" s="316">
        <v>0</v>
      </c>
      <c r="G222" s="316">
        <v>0</v>
      </c>
      <c r="H222" s="527">
        <v>0</v>
      </c>
      <c r="I222" s="566">
        <f>SUM(G222+H222)</f>
        <v>0</v>
      </c>
    </row>
    <row r="223" spans="1:10" s="309" customFormat="1" x14ac:dyDescent="0.15">
      <c r="A223" s="312"/>
      <c r="B223" s="311" t="s">
        <v>1578</v>
      </c>
      <c r="C223" s="312" t="s">
        <v>936</v>
      </c>
      <c r="D223" s="316">
        <v>0</v>
      </c>
      <c r="E223" s="316">
        <v>0</v>
      </c>
      <c r="F223" s="316">
        <v>0</v>
      </c>
      <c r="G223" s="529">
        <f t="array" ref="G223">SUM(IF(CertFund&amp;CertProg&amp;CertObj=RIGHT(LEFT($A$2,7),2)&amp;LEFT(A220,4)&amp;B221,CertBen))</f>
        <v>0</v>
      </c>
      <c r="H223" s="527">
        <v>0</v>
      </c>
      <c r="I223" s="566">
        <f>SUM(G223+H223)</f>
        <v>0</v>
      </c>
    </row>
    <row r="224" spans="1:10" x14ac:dyDescent="0.15">
      <c r="A224" s="115"/>
      <c r="B224" s="152" t="s">
        <v>1578</v>
      </c>
      <c r="C224" s="115" t="s">
        <v>511</v>
      </c>
      <c r="D224" s="147">
        <v>0</v>
      </c>
      <c r="E224" s="147">
        <v>0</v>
      </c>
      <c r="F224" s="147">
        <v>0</v>
      </c>
      <c r="G224" s="147">
        <v>0</v>
      </c>
      <c r="H224" s="150">
        <v>0</v>
      </c>
      <c r="I224" s="567">
        <f>SUM(G224+H224)</f>
        <v>0</v>
      </c>
      <c r="J224" s="309"/>
    </row>
    <row r="225" spans="1:9" ht="10.5" customHeight="1" x14ac:dyDescent="0.15">
      <c r="A225" s="35"/>
      <c r="B225" s="152" t="s">
        <v>1579</v>
      </c>
      <c r="C225" s="115" t="s">
        <v>118</v>
      </c>
      <c r="D225" s="147">
        <v>0</v>
      </c>
      <c r="E225" s="147">
        <v>0</v>
      </c>
      <c r="F225" s="147">
        <v>0</v>
      </c>
      <c r="G225" s="147">
        <v>0</v>
      </c>
      <c r="H225" s="316">
        <v>0</v>
      </c>
      <c r="I225" s="535">
        <f t="shared" ref="I225:I248" si="6">SUM(G225+H225)</f>
        <v>0</v>
      </c>
    </row>
    <row r="226" spans="1:9" ht="10.5" customHeight="1" x14ac:dyDescent="0.15">
      <c r="A226" s="35"/>
      <c r="B226" s="152" t="s">
        <v>1580</v>
      </c>
      <c r="C226" s="115" t="s">
        <v>119</v>
      </c>
      <c r="D226" s="147">
        <v>0</v>
      </c>
      <c r="E226" s="147">
        <v>0</v>
      </c>
      <c r="F226" s="147">
        <v>0</v>
      </c>
      <c r="G226" s="147">
        <v>0</v>
      </c>
      <c r="H226" s="316">
        <v>0</v>
      </c>
      <c r="I226" s="535">
        <f t="shared" si="6"/>
        <v>0</v>
      </c>
    </row>
    <row r="227" spans="1:9" ht="10.5" customHeight="1" x14ac:dyDescent="0.15">
      <c r="A227" s="35"/>
      <c r="B227" s="152" t="s">
        <v>120</v>
      </c>
      <c r="C227" s="115" t="s">
        <v>121</v>
      </c>
      <c r="D227" s="147">
        <v>0</v>
      </c>
      <c r="E227" s="147">
        <v>0</v>
      </c>
      <c r="F227" s="147">
        <v>0</v>
      </c>
      <c r="G227" s="147">
        <v>0</v>
      </c>
      <c r="H227" s="316">
        <v>0</v>
      </c>
      <c r="I227" s="535">
        <f t="shared" si="6"/>
        <v>0</v>
      </c>
    </row>
    <row r="228" spans="1:9" ht="10.5" customHeight="1" x14ac:dyDescent="0.15">
      <c r="A228" s="35"/>
      <c r="B228" s="152" t="s">
        <v>122</v>
      </c>
      <c r="C228" s="115" t="s">
        <v>123</v>
      </c>
      <c r="D228" s="147">
        <v>0</v>
      </c>
      <c r="E228" s="147">
        <v>0</v>
      </c>
      <c r="F228" s="147">
        <v>0</v>
      </c>
      <c r="G228" s="147">
        <v>0</v>
      </c>
      <c r="H228" s="316">
        <v>0</v>
      </c>
      <c r="I228" s="535">
        <f t="shared" si="6"/>
        <v>0</v>
      </c>
    </row>
    <row r="229" spans="1:9" ht="10.5" customHeight="1" x14ac:dyDescent="0.15">
      <c r="A229" s="35"/>
      <c r="B229" s="152" t="s">
        <v>1581</v>
      </c>
      <c r="C229" s="115" t="s">
        <v>124</v>
      </c>
      <c r="D229" s="147">
        <v>0</v>
      </c>
      <c r="E229" s="147">
        <v>0</v>
      </c>
      <c r="F229" s="147">
        <v>0</v>
      </c>
      <c r="G229" s="147">
        <v>0</v>
      </c>
      <c r="H229" s="316">
        <v>0</v>
      </c>
      <c r="I229" s="535">
        <f t="shared" si="6"/>
        <v>0</v>
      </c>
    </row>
    <row r="230" spans="1:9" ht="10.5" customHeight="1" x14ac:dyDescent="0.15">
      <c r="A230" s="35"/>
      <c r="B230" s="152" t="s">
        <v>132</v>
      </c>
      <c r="C230" s="115" t="s">
        <v>1617</v>
      </c>
      <c r="D230" s="147">
        <v>0</v>
      </c>
      <c r="E230" s="147">
        <v>0</v>
      </c>
      <c r="F230" s="147">
        <v>0</v>
      </c>
      <c r="G230" s="147">
        <v>0</v>
      </c>
      <c r="H230" s="316">
        <v>0</v>
      </c>
      <c r="I230" s="535">
        <f t="shared" si="6"/>
        <v>0</v>
      </c>
    </row>
    <row r="231" spans="1:9" ht="10.5" customHeight="1" x14ac:dyDescent="0.15">
      <c r="A231" s="35"/>
      <c r="B231" s="152" t="s">
        <v>675</v>
      </c>
      <c r="C231" s="115" t="s">
        <v>698</v>
      </c>
      <c r="D231" s="147">
        <v>0</v>
      </c>
      <c r="E231" s="147">
        <v>0</v>
      </c>
      <c r="F231" s="147">
        <v>0</v>
      </c>
      <c r="G231" s="147">
        <v>0</v>
      </c>
      <c r="H231" s="316">
        <v>0</v>
      </c>
      <c r="I231" s="535">
        <f t="shared" si="6"/>
        <v>0</v>
      </c>
    </row>
    <row r="232" spans="1:9" ht="10.5" customHeight="1" x14ac:dyDescent="0.15">
      <c r="A232" s="35"/>
      <c r="B232" s="152" t="s">
        <v>1624</v>
      </c>
      <c r="C232" s="115" t="s">
        <v>840</v>
      </c>
      <c r="D232" s="147">
        <v>0</v>
      </c>
      <c r="E232" s="147">
        <v>0</v>
      </c>
      <c r="F232" s="147">
        <v>0</v>
      </c>
      <c r="G232" s="147">
        <v>0</v>
      </c>
      <c r="H232" s="316">
        <v>0</v>
      </c>
      <c r="I232" s="535">
        <f t="shared" si="6"/>
        <v>0</v>
      </c>
    </row>
    <row r="233" spans="1:9" ht="10.5" customHeight="1" x14ac:dyDescent="0.15">
      <c r="A233" s="35"/>
      <c r="B233" s="152" t="s">
        <v>1625</v>
      </c>
      <c r="C233" s="115" t="s">
        <v>842</v>
      </c>
      <c r="D233" s="147">
        <v>0</v>
      </c>
      <c r="E233" s="147">
        <v>0</v>
      </c>
      <c r="F233" s="147">
        <v>0</v>
      </c>
      <c r="G233" s="147">
        <v>0</v>
      </c>
      <c r="H233" s="316">
        <v>0</v>
      </c>
      <c r="I233" s="535">
        <f t="shared" si="6"/>
        <v>0</v>
      </c>
    </row>
    <row r="234" spans="1:9" ht="10.5" customHeight="1" x14ac:dyDescent="0.15">
      <c r="A234" s="35"/>
      <c r="B234" s="152" t="s">
        <v>843</v>
      </c>
      <c r="C234" s="115" t="s">
        <v>848</v>
      </c>
      <c r="D234" s="147">
        <v>0</v>
      </c>
      <c r="E234" s="147">
        <v>0</v>
      </c>
      <c r="F234" s="147">
        <v>0</v>
      </c>
      <c r="G234" s="147">
        <v>0</v>
      </c>
      <c r="H234" s="316">
        <v>0</v>
      </c>
      <c r="I234" s="535">
        <f t="shared" si="6"/>
        <v>0</v>
      </c>
    </row>
    <row r="235" spans="1:9" ht="10.5" customHeight="1" x14ac:dyDescent="0.15">
      <c r="A235" s="35"/>
      <c r="B235" s="152" t="s">
        <v>844</v>
      </c>
      <c r="C235" s="115" t="s">
        <v>186</v>
      </c>
      <c r="D235" s="147">
        <v>0</v>
      </c>
      <c r="E235" s="147">
        <v>0</v>
      </c>
      <c r="F235" s="147">
        <v>0</v>
      </c>
      <c r="G235" s="147">
        <v>0</v>
      </c>
      <c r="H235" s="316">
        <v>0</v>
      </c>
      <c r="I235" s="535">
        <f t="shared" si="6"/>
        <v>0</v>
      </c>
    </row>
    <row r="236" spans="1:9" ht="10.5" customHeight="1" x14ac:dyDescent="0.15">
      <c r="A236" s="35"/>
      <c r="B236" s="152" t="s">
        <v>845</v>
      </c>
      <c r="C236" s="115" t="s">
        <v>154</v>
      </c>
      <c r="D236" s="147">
        <v>0</v>
      </c>
      <c r="E236" s="147">
        <v>0</v>
      </c>
      <c r="F236" s="147">
        <v>0</v>
      </c>
      <c r="G236" s="147">
        <v>0</v>
      </c>
      <c r="H236" s="316">
        <v>0</v>
      </c>
      <c r="I236" s="535">
        <f t="shared" si="6"/>
        <v>0</v>
      </c>
    </row>
    <row r="237" spans="1:9" ht="10.5" customHeight="1" x14ac:dyDescent="0.15">
      <c r="A237" s="35"/>
      <c r="B237" s="152" t="s">
        <v>846</v>
      </c>
      <c r="C237" s="115" t="s">
        <v>155</v>
      </c>
      <c r="D237" s="147">
        <v>0</v>
      </c>
      <c r="E237" s="147">
        <v>0</v>
      </c>
      <c r="F237" s="147">
        <v>0</v>
      </c>
      <c r="G237" s="147">
        <v>0</v>
      </c>
      <c r="H237" s="316">
        <v>0</v>
      </c>
      <c r="I237" s="535">
        <f t="shared" si="6"/>
        <v>0</v>
      </c>
    </row>
    <row r="238" spans="1:9" ht="10.5" customHeight="1" x14ac:dyDescent="0.15">
      <c r="A238" s="35"/>
      <c r="B238" s="152" t="s">
        <v>1582</v>
      </c>
      <c r="C238" s="115" t="s">
        <v>156</v>
      </c>
      <c r="D238" s="147">
        <v>0</v>
      </c>
      <c r="E238" s="147">
        <v>0</v>
      </c>
      <c r="F238" s="147">
        <v>0</v>
      </c>
      <c r="G238" s="147">
        <v>0</v>
      </c>
      <c r="H238" s="316">
        <v>0</v>
      </c>
      <c r="I238" s="535">
        <f t="shared" si="6"/>
        <v>0</v>
      </c>
    </row>
    <row r="239" spans="1:9" ht="10.5" customHeight="1" x14ac:dyDescent="0.15">
      <c r="A239" s="35"/>
      <c r="B239" s="152" t="s">
        <v>847</v>
      </c>
      <c r="C239" s="115" t="s">
        <v>157</v>
      </c>
      <c r="D239" s="147">
        <v>0</v>
      </c>
      <c r="E239" s="147">
        <v>0</v>
      </c>
      <c r="F239" s="147">
        <v>0</v>
      </c>
      <c r="G239" s="147">
        <v>0</v>
      </c>
      <c r="H239" s="316">
        <v>0</v>
      </c>
      <c r="I239" s="535">
        <f t="shared" si="6"/>
        <v>0</v>
      </c>
    </row>
    <row r="240" spans="1:9" ht="10.5" customHeight="1" x14ac:dyDescent="0.15">
      <c r="A240" s="35"/>
      <c r="B240" s="152" t="s">
        <v>1583</v>
      </c>
      <c r="C240" s="115" t="s">
        <v>160</v>
      </c>
      <c r="D240" s="147">
        <v>0</v>
      </c>
      <c r="E240" s="147">
        <v>0</v>
      </c>
      <c r="F240" s="147">
        <v>0</v>
      </c>
      <c r="G240" s="147">
        <v>0</v>
      </c>
      <c r="H240" s="316">
        <v>0</v>
      </c>
      <c r="I240" s="535">
        <f t="shared" si="6"/>
        <v>0</v>
      </c>
    </row>
    <row r="241" spans="1:9" ht="10.5" customHeight="1" x14ac:dyDescent="0.15">
      <c r="A241" s="35"/>
      <c r="B241" s="152" t="s">
        <v>634</v>
      </c>
      <c r="C241" s="115" t="s">
        <v>165</v>
      </c>
      <c r="D241" s="147">
        <v>0</v>
      </c>
      <c r="E241" s="147">
        <v>0</v>
      </c>
      <c r="F241" s="147">
        <v>0</v>
      </c>
      <c r="G241" s="147">
        <v>0</v>
      </c>
      <c r="H241" s="316">
        <v>0</v>
      </c>
      <c r="I241" s="535">
        <f t="shared" si="6"/>
        <v>0</v>
      </c>
    </row>
    <row r="242" spans="1:9" ht="10.5" customHeight="1" x14ac:dyDescent="0.15">
      <c r="A242" s="35"/>
      <c r="B242" s="152" t="s">
        <v>202</v>
      </c>
      <c r="C242" s="115" t="s">
        <v>171</v>
      </c>
      <c r="D242" s="147">
        <v>0</v>
      </c>
      <c r="E242" s="147">
        <v>0</v>
      </c>
      <c r="F242" s="147">
        <v>0</v>
      </c>
      <c r="G242" s="147">
        <v>0</v>
      </c>
      <c r="H242" s="316">
        <v>0</v>
      </c>
      <c r="I242" s="535">
        <f t="shared" si="6"/>
        <v>0</v>
      </c>
    </row>
    <row r="243" spans="1:9" ht="10.5" customHeight="1" x14ac:dyDescent="0.15">
      <c r="A243" s="35"/>
      <c r="B243" s="152" t="s">
        <v>630</v>
      </c>
      <c r="C243" s="115" t="s">
        <v>172</v>
      </c>
      <c r="D243" s="147">
        <v>0</v>
      </c>
      <c r="E243" s="147">
        <v>0</v>
      </c>
      <c r="F243" s="147">
        <v>0</v>
      </c>
      <c r="G243" s="147">
        <v>0</v>
      </c>
      <c r="H243" s="316">
        <v>0</v>
      </c>
      <c r="I243" s="535">
        <f t="shared" si="6"/>
        <v>0</v>
      </c>
    </row>
    <row r="244" spans="1:9" ht="10.5" customHeight="1" x14ac:dyDescent="0.15">
      <c r="A244" s="35"/>
      <c r="B244" s="652" t="s">
        <v>631</v>
      </c>
      <c r="C244" s="653" t="s">
        <v>173</v>
      </c>
      <c r="D244" s="147">
        <v>0</v>
      </c>
      <c r="E244" s="147">
        <v>0</v>
      </c>
      <c r="F244" s="147">
        <v>0</v>
      </c>
      <c r="G244" s="147">
        <v>0</v>
      </c>
      <c r="H244" s="316">
        <v>0</v>
      </c>
      <c r="I244" s="535">
        <f t="shared" si="6"/>
        <v>0</v>
      </c>
    </row>
    <row r="245" spans="1:9" ht="10.5" customHeight="1" x14ac:dyDescent="0.15">
      <c r="A245" s="35"/>
      <c r="B245" s="152" t="s">
        <v>1584</v>
      </c>
      <c r="C245" s="115" t="s">
        <v>178</v>
      </c>
      <c r="D245" s="147">
        <v>0</v>
      </c>
      <c r="E245" s="147">
        <v>0</v>
      </c>
      <c r="F245" s="147">
        <v>0</v>
      </c>
      <c r="G245" s="147">
        <v>0</v>
      </c>
      <c r="H245" s="316">
        <v>0</v>
      </c>
      <c r="I245" s="535">
        <f t="shared" si="6"/>
        <v>0</v>
      </c>
    </row>
    <row r="246" spans="1:9" ht="10.5" customHeight="1" x14ac:dyDescent="0.15">
      <c r="A246" s="35"/>
      <c r="B246" s="152" t="s">
        <v>174</v>
      </c>
      <c r="C246" s="115" t="s">
        <v>179</v>
      </c>
      <c r="D246" s="147">
        <v>0</v>
      </c>
      <c r="E246" s="147">
        <v>0</v>
      </c>
      <c r="F246" s="147">
        <v>0</v>
      </c>
      <c r="G246" s="147">
        <v>0</v>
      </c>
      <c r="H246" s="316">
        <v>0</v>
      </c>
      <c r="I246" s="535">
        <f t="shared" si="6"/>
        <v>0</v>
      </c>
    </row>
    <row r="247" spans="1:9" ht="10.5" customHeight="1" x14ac:dyDescent="0.15">
      <c r="A247" s="35"/>
      <c r="B247" s="152" t="s">
        <v>175</v>
      </c>
      <c r="C247" s="115" t="s">
        <v>180</v>
      </c>
      <c r="D247" s="147">
        <v>0</v>
      </c>
      <c r="E247" s="147">
        <v>0</v>
      </c>
      <c r="F247" s="147">
        <v>0</v>
      </c>
      <c r="G247" s="147">
        <v>0</v>
      </c>
      <c r="H247" s="316">
        <v>0</v>
      </c>
      <c r="I247" s="535">
        <f t="shared" si="6"/>
        <v>0</v>
      </c>
    </row>
    <row r="248" spans="1:9" ht="10.5" customHeight="1" x14ac:dyDescent="0.15">
      <c r="A248" s="35"/>
      <c r="B248" s="152" t="s">
        <v>176</v>
      </c>
      <c r="C248" s="115" t="s">
        <v>181</v>
      </c>
      <c r="D248" s="147">
        <v>0</v>
      </c>
      <c r="E248" s="147">
        <v>0</v>
      </c>
      <c r="F248" s="147">
        <v>0</v>
      </c>
      <c r="G248" s="147">
        <v>0</v>
      </c>
      <c r="H248" s="316">
        <v>0</v>
      </c>
      <c r="I248" s="535">
        <f t="shared" si="6"/>
        <v>0</v>
      </c>
    </row>
    <row r="249" spans="1:9" ht="10.5" customHeight="1" x14ac:dyDescent="0.15">
      <c r="A249" s="35"/>
      <c r="B249" s="152" t="s">
        <v>177</v>
      </c>
      <c r="C249" s="115" t="s">
        <v>182</v>
      </c>
      <c r="D249" s="147">
        <v>0</v>
      </c>
      <c r="E249" s="147">
        <v>0</v>
      </c>
      <c r="F249" s="147">
        <v>0</v>
      </c>
      <c r="G249" s="147">
        <v>0</v>
      </c>
      <c r="H249" s="316">
        <v>0</v>
      </c>
      <c r="I249" s="535">
        <f>SUM(G249+H249)</f>
        <v>0</v>
      </c>
    </row>
    <row r="250" spans="1:9" ht="10.5" customHeight="1" thickBot="1" x14ac:dyDescent="0.2">
      <c r="A250" s="35"/>
      <c r="B250" s="152" t="s">
        <v>632</v>
      </c>
      <c r="C250" s="115" t="s">
        <v>183</v>
      </c>
      <c r="D250" s="144">
        <v>0</v>
      </c>
      <c r="E250" s="144">
        <v>0</v>
      </c>
      <c r="F250" s="144">
        <v>0</v>
      </c>
      <c r="G250" s="147">
        <v>0</v>
      </c>
      <c r="H250" s="317">
        <v>0</v>
      </c>
      <c r="I250" s="573">
        <f>SUM(G250+H250)</f>
        <v>0</v>
      </c>
    </row>
    <row r="251" spans="1:9" ht="10.5" customHeight="1" thickTop="1" thickBot="1" x14ac:dyDescent="0.2">
      <c r="A251" s="35"/>
      <c r="B251" s="152"/>
      <c r="C251" s="115" t="s">
        <v>657</v>
      </c>
      <c r="D251" s="169">
        <f>SUM(D221:D250)</f>
        <v>0</v>
      </c>
      <c r="E251" s="169">
        <f>SUM(E221:E250)</f>
        <v>0</v>
      </c>
      <c r="F251" s="169">
        <f>SUM(F221:F250)</f>
        <v>0</v>
      </c>
      <c r="G251" s="169">
        <f>SUM(G221:G250)</f>
        <v>0</v>
      </c>
      <c r="H251" s="169">
        <f>SUM(H221:H250)</f>
        <v>0</v>
      </c>
      <c r="I251" s="304">
        <f>G251+H251</f>
        <v>0</v>
      </c>
    </row>
    <row r="252" spans="1:9" ht="10.5" customHeight="1" thickTop="1" x14ac:dyDescent="0.15">
      <c r="A252" s="35"/>
      <c r="B252" s="152"/>
      <c r="C252" s="115"/>
      <c r="D252" s="14"/>
      <c r="E252" s="14"/>
      <c r="F252" s="14"/>
      <c r="G252" s="14"/>
      <c r="H252" s="305"/>
      <c r="I252" s="305"/>
    </row>
    <row r="253" spans="1:9" ht="10.5" customHeight="1" x14ac:dyDescent="0.15">
      <c r="A253" s="35" t="s">
        <v>658</v>
      </c>
      <c r="C253" s="115"/>
      <c r="D253" s="14"/>
      <c r="E253" s="14"/>
      <c r="F253" s="14"/>
      <c r="G253" s="14"/>
      <c r="H253" s="305"/>
      <c r="I253" s="305"/>
    </row>
    <row r="254" spans="1:9" s="309" customFormat="1" x14ac:dyDescent="0.15">
      <c r="B254" s="311" t="s">
        <v>1577</v>
      </c>
      <c r="C254" s="312" t="s">
        <v>228</v>
      </c>
      <c r="D254" s="316">
        <v>0</v>
      </c>
      <c r="E254" s="316">
        <v>0</v>
      </c>
      <c r="F254" s="316">
        <v>0</v>
      </c>
      <c r="G254" s="528">
        <f t="array" ref="G254">SUM(IF(CertFund&amp;CertProg&amp;CertObj=RIGHT(LEFT($A$2,7),2)&amp;LEFT(A253,4)&amp;B254,CertSalary))</f>
        <v>0</v>
      </c>
      <c r="H254" s="527">
        <v>0</v>
      </c>
      <c r="I254" s="566">
        <f>SUM(G254+H254)</f>
        <v>0</v>
      </c>
    </row>
    <row r="255" spans="1:9" s="309" customFormat="1" x14ac:dyDescent="0.15">
      <c r="B255" s="311" t="s">
        <v>1577</v>
      </c>
      <c r="C255" s="312" t="s">
        <v>510</v>
      </c>
      <c r="D255" s="316">
        <v>0</v>
      </c>
      <c r="E255" s="316">
        <v>0</v>
      </c>
      <c r="F255" s="316">
        <v>0</v>
      </c>
      <c r="G255" s="316">
        <v>0</v>
      </c>
      <c r="H255" s="527">
        <v>0</v>
      </c>
      <c r="I255" s="566">
        <f>SUM(G255+H255)</f>
        <v>0</v>
      </c>
    </row>
    <row r="256" spans="1:9" s="309" customFormat="1" x14ac:dyDescent="0.15">
      <c r="A256" s="312"/>
      <c r="B256" s="311" t="s">
        <v>1578</v>
      </c>
      <c r="C256" s="312" t="s">
        <v>936</v>
      </c>
      <c r="D256" s="316">
        <v>0</v>
      </c>
      <c r="E256" s="316">
        <v>0</v>
      </c>
      <c r="F256" s="316">
        <v>0</v>
      </c>
      <c r="G256" s="529">
        <f t="array" ref="G256">SUM(IF(CertFund&amp;CertProg&amp;CertObj=RIGHT(LEFT($A$2,7),2)&amp;LEFT(A253,4)&amp;B254,CertBen))</f>
        <v>0</v>
      </c>
      <c r="H256" s="527">
        <v>0</v>
      </c>
      <c r="I256" s="566">
        <f>SUM(G256+H256)</f>
        <v>0</v>
      </c>
    </row>
    <row r="257" spans="1:10" x14ac:dyDescent="0.15">
      <c r="A257" s="115"/>
      <c r="B257" s="152" t="s">
        <v>1578</v>
      </c>
      <c r="C257" s="115" t="s">
        <v>511</v>
      </c>
      <c r="D257" s="147">
        <v>0</v>
      </c>
      <c r="E257" s="147">
        <v>0</v>
      </c>
      <c r="F257" s="147">
        <v>0</v>
      </c>
      <c r="G257" s="147">
        <v>0</v>
      </c>
      <c r="H257" s="150">
        <v>0</v>
      </c>
      <c r="I257" s="567">
        <f>SUM(G257+H257)</f>
        <v>0</v>
      </c>
      <c r="J257" s="309"/>
    </row>
    <row r="258" spans="1:10" ht="10.5" customHeight="1" x14ac:dyDescent="0.15">
      <c r="A258" s="35"/>
      <c r="B258" s="152" t="s">
        <v>1579</v>
      </c>
      <c r="C258" s="115" t="s">
        <v>118</v>
      </c>
      <c r="D258" s="147">
        <v>0</v>
      </c>
      <c r="E258" s="147">
        <v>0</v>
      </c>
      <c r="F258" s="147">
        <v>0</v>
      </c>
      <c r="G258" s="147">
        <v>0</v>
      </c>
      <c r="H258" s="316">
        <v>0</v>
      </c>
      <c r="I258" s="535">
        <f t="shared" ref="I258:I288" si="7">SUM(G258+H258)</f>
        <v>0</v>
      </c>
    </row>
    <row r="259" spans="1:10" ht="10.5" customHeight="1" x14ac:dyDescent="0.15">
      <c r="A259" s="35"/>
      <c r="B259" s="152" t="s">
        <v>1580</v>
      </c>
      <c r="C259" s="115" t="s">
        <v>119</v>
      </c>
      <c r="D259" s="147">
        <v>0</v>
      </c>
      <c r="E259" s="147">
        <v>0</v>
      </c>
      <c r="F259" s="147">
        <v>0</v>
      </c>
      <c r="G259" s="147">
        <v>0</v>
      </c>
      <c r="H259" s="316">
        <v>0</v>
      </c>
      <c r="I259" s="535">
        <f t="shared" si="7"/>
        <v>0</v>
      </c>
    </row>
    <row r="260" spans="1:10" ht="10.5" customHeight="1" x14ac:dyDescent="0.15">
      <c r="A260" s="35"/>
      <c r="B260" s="152" t="s">
        <v>120</v>
      </c>
      <c r="C260" s="115" t="s">
        <v>121</v>
      </c>
      <c r="D260" s="147">
        <v>0</v>
      </c>
      <c r="E260" s="147">
        <v>0</v>
      </c>
      <c r="F260" s="147">
        <v>0</v>
      </c>
      <c r="G260" s="147">
        <v>0</v>
      </c>
      <c r="H260" s="316">
        <v>0</v>
      </c>
      <c r="I260" s="535">
        <f t="shared" si="7"/>
        <v>0</v>
      </c>
    </row>
    <row r="261" spans="1:10" ht="10.5" customHeight="1" x14ac:dyDescent="0.15">
      <c r="A261" s="35"/>
      <c r="B261" s="152" t="s">
        <v>122</v>
      </c>
      <c r="C261" s="115" t="s">
        <v>123</v>
      </c>
      <c r="D261" s="147">
        <v>0</v>
      </c>
      <c r="E261" s="147">
        <v>0</v>
      </c>
      <c r="F261" s="147">
        <v>0</v>
      </c>
      <c r="G261" s="147">
        <v>0</v>
      </c>
      <c r="H261" s="316">
        <v>0</v>
      </c>
      <c r="I261" s="535">
        <f t="shared" si="7"/>
        <v>0</v>
      </c>
    </row>
    <row r="262" spans="1:10" ht="10.5" customHeight="1" x14ac:dyDescent="0.15">
      <c r="A262" s="35"/>
      <c r="B262" s="152" t="s">
        <v>1581</v>
      </c>
      <c r="C262" s="115" t="s">
        <v>124</v>
      </c>
      <c r="D262" s="147">
        <v>0</v>
      </c>
      <c r="E262" s="147">
        <v>0</v>
      </c>
      <c r="F262" s="147">
        <v>0</v>
      </c>
      <c r="G262" s="147">
        <v>0</v>
      </c>
      <c r="H262" s="316">
        <v>0</v>
      </c>
      <c r="I262" s="535">
        <f t="shared" si="7"/>
        <v>0</v>
      </c>
    </row>
    <row r="263" spans="1:10" ht="10.5" customHeight="1" x14ac:dyDescent="0.15">
      <c r="A263" s="35"/>
      <c r="B263" s="152" t="s">
        <v>125</v>
      </c>
      <c r="C263" s="115" t="s">
        <v>133</v>
      </c>
      <c r="D263" s="147">
        <v>0</v>
      </c>
      <c r="E263" s="147">
        <v>0</v>
      </c>
      <c r="F263" s="147">
        <v>0</v>
      </c>
      <c r="G263" s="147">
        <v>0</v>
      </c>
      <c r="H263" s="316">
        <v>0</v>
      </c>
      <c r="I263" s="535">
        <f t="shared" si="7"/>
        <v>0</v>
      </c>
    </row>
    <row r="264" spans="1:10" ht="10.5" customHeight="1" x14ac:dyDescent="0.15">
      <c r="A264" s="35"/>
      <c r="B264" s="152" t="s">
        <v>126</v>
      </c>
      <c r="C264" s="115" t="s">
        <v>187</v>
      </c>
      <c r="D264" s="147">
        <v>0</v>
      </c>
      <c r="E264" s="147">
        <v>0</v>
      </c>
      <c r="F264" s="147">
        <v>0</v>
      </c>
      <c r="G264" s="147">
        <v>0</v>
      </c>
      <c r="H264" s="316">
        <v>0</v>
      </c>
      <c r="I264" s="535">
        <f t="shared" si="7"/>
        <v>0</v>
      </c>
    </row>
    <row r="265" spans="1:10" ht="10.5" customHeight="1" x14ac:dyDescent="0.15">
      <c r="A265" s="35"/>
      <c r="B265" s="152" t="s">
        <v>127</v>
      </c>
      <c r="C265" s="115" t="s">
        <v>134</v>
      </c>
      <c r="D265" s="147">
        <v>0</v>
      </c>
      <c r="E265" s="147">
        <v>0</v>
      </c>
      <c r="F265" s="147">
        <v>0</v>
      </c>
      <c r="G265" s="147">
        <v>0</v>
      </c>
      <c r="H265" s="316">
        <v>0</v>
      </c>
      <c r="I265" s="535">
        <f t="shared" si="7"/>
        <v>0</v>
      </c>
    </row>
    <row r="266" spans="1:10" ht="10.5" customHeight="1" x14ac:dyDescent="0.15">
      <c r="A266" s="35"/>
      <c r="B266" s="152" t="s">
        <v>128</v>
      </c>
      <c r="C266" s="115" t="s">
        <v>135</v>
      </c>
      <c r="D266" s="147">
        <v>0</v>
      </c>
      <c r="E266" s="147">
        <v>0</v>
      </c>
      <c r="F266" s="147">
        <v>0</v>
      </c>
      <c r="G266" s="147">
        <v>0</v>
      </c>
      <c r="H266" s="316">
        <v>0</v>
      </c>
      <c r="I266" s="535">
        <f t="shared" si="7"/>
        <v>0</v>
      </c>
    </row>
    <row r="267" spans="1:10" ht="10.5" customHeight="1" x14ac:dyDescent="0.15">
      <c r="A267" s="35"/>
      <c r="B267" s="152" t="s">
        <v>129</v>
      </c>
      <c r="C267" s="115" t="s">
        <v>136</v>
      </c>
      <c r="D267" s="147">
        <v>0</v>
      </c>
      <c r="E267" s="147">
        <v>0</v>
      </c>
      <c r="F267" s="147">
        <v>0</v>
      </c>
      <c r="G267" s="147">
        <v>0</v>
      </c>
      <c r="H267" s="316">
        <v>0</v>
      </c>
      <c r="I267" s="535">
        <f t="shared" si="7"/>
        <v>0</v>
      </c>
    </row>
    <row r="268" spans="1:10" ht="10.5" customHeight="1" x14ac:dyDescent="0.15">
      <c r="A268" s="35"/>
      <c r="B268" s="152" t="s">
        <v>130</v>
      </c>
      <c r="C268" s="115" t="s">
        <v>188</v>
      </c>
      <c r="D268" s="147">
        <v>0</v>
      </c>
      <c r="E268" s="147">
        <v>0</v>
      </c>
      <c r="F268" s="147">
        <v>0</v>
      </c>
      <c r="G268" s="147">
        <v>0</v>
      </c>
      <c r="H268" s="316">
        <v>0</v>
      </c>
      <c r="I268" s="535">
        <f t="shared" si="7"/>
        <v>0</v>
      </c>
    </row>
    <row r="269" spans="1:10" ht="10.5" customHeight="1" x14ac:dyDescent="0.15">
      <c r="A269" s="35"/>
      <c r="B269" s="152" t="s">
        <v>131</v>
      </c>
      <c r="C269" s="115" t="s">
        <v>137</v>
      </c>
      <c r="D269" s="147">
        <v>0</v>
      </c>
      <c r="E269" s="147">
        <v>0</v>
      </c>
      <c r="F269" s="147">
        <v>0</v>
      </c>
      <c r="G269" s="147">
        <v>0</v>
      </c>
      <c r="H269" s="316">
        <v>0</v>
      </c>
      <c r="I269" s="535">
        <f t="shared" si="7"/>
        <v>0</v>
      </c>
    </row>
    <row r="270" spans="1:10" ht="10.5" customHeight="1" x14ac:dyDescent="0.15">
      <c r="A270" s="35"/>
      <c r="B270" s="152" t="s">
        <v>132</v>
      </c>
      <c r="C270" s="115" t="s">
        <v>1617</v>
      </c>
      <c r="D270" s="147">
        <v>0</v>
      </c>
      <c r="E270" s="147">
        <v>0</v>
      </c>
      <c r="F270" s="147">
        <v>0</v>
      </c>
      <c r="G270" s="147">
        <v>0</v>
      </c>
      <c r="H270" s="316">
        <v>0</v>
      </c>
      <c r="I270" s="535">
        <f t="shared" si="7"/>
        <v>0</v>
      </c>
    </row>
    <row r="271" spans="1:10" ht="10.5" customHeight="1" x14ac:dyDescent="0.15">
      <c r="A271" s="35"/>
      <c r="B271" s="152" t="s">
        <v>675</v>
      </c>
      <c r="C271" s="115" t="s">
        <v>698</v>
      </c>
      <c r="D271" s="147">
        <v>0</v>
      </c>
      <c r="E271" s="147">
        <v>0</v>
      </c>
      <c r="F271" s="147">
        <v>0</v>
      </c>
      <c r="G271" s="147">
        <v>0</v>
      </c>
      <c r="H271" s="316">
        <v>0</v>
      </c>
      <c r="I271" s="535">
        <f t="shared" si="7"/>
        <v>0</v>
      </c>
    </row>
    <row r="272" spans="1:10" ht="10.5" customHeight="1" x14ac:dyDescent="0.15">
      <c r="A272" s="35"/>
      <c r="B272" s="152" t="s">
        <v>1624</v>
      </c>
      <c r="C272" s="115" t="s">
        <v>840</v>
      </c>
      <c r="D272" s="147">
        <v>0</v>
      </c>
      <c r="E272" s="147">
        <v>0</v>
      </c>
      <c r="F272" s="147">
        <v>0</v>
      </c>
      <c r="G272" s="147">
        <v>0</v>
      </c>
      <c r="H272" s="316">
        <v>0</v>
      </c>
      <c r="I272" s="535">
        <f t="shared" si="7"/>
        <v>0</v>
      </c>
    </row>
    <row r="273" spans="1:9" ht="10.5" customHeight="1" x14ac:dyDescent="0.15">
      <c r="A273" s="35"/>
      <c r="B273" s="152" t="s">
        <v>1625</v>
      </c>
      <c r="C273" s="115" t="s">
        <v>842</v>
      </c>
      <c r="D273" s="147">
        <v>0</v>
      </c>
      <c r="E273" s="147">
        <v>0</v>
      </c>
      <c r="F273" s="147">
        <v>0</v>
      </c>
      <c r="G273" s="147">
        <v>0</v>
      </c>
      <c r="H273" s="316">
        <v>0</v>
      </c>
      <c r="I273" s="535">
        <f t="shared" si="7"/>
        <v>0</v>
      </c>
    </row>
    <row r="274" spans="1:9" ht="10.5" customHeight="1" x14ac:dyDescent="0.15">
      <c r="A274" s="35"/>
      <c r="B274" s="152" t="s">
        <v>843</v>
      </c>
      <c r="C274" s="115" t="s">
        <v>848</v>
      </c>
      <c r="D274" s="147">
        <v>0</v>
      </c>
      <c r="E274" s="147">
        <v>0</v>
      </c>
      <c r="F274" s="147">
        <v>0</v>
      </c>
      <c r="G274" s="147">
        <v>0</v>
      </c>
      <c r="H274" s="316">
        <v>0</v>
      </c>
      <c r="I274" s="535">
        <f t="shared" si="7"/>
        <v>0</v>
      </c>
    </row>
    <row r="275" spans="1:9" ht="10.5" customHeight="1" x14ac:dyDescent="0.15">
      <c r="A275" s="35"/>
      <c r="B275" s="152" t="s">
        <v>844</v>
      </c>
      <c r="C275" s="115" t="s">
        <v>186</v>
      </c>
      <c r="D275" s="147">
        <v>0</v>
      </c>
      <c r="E275" s="147">
        <v>0</v>
      </c>
      <c r="F275" s="147">
        <v>0</v>
      </c>
      <c r="G275" s="147">
        <v>0</v>
      </c>
      <c r="H275" s="316">
        <v>0</v>
      </c>
      <c r="I275" s="535">
        <f t="shared" si="7"/>
        <v>0</v>
      </c>
    </row>
    <row r="276" spans="1:9" ht="10.5" customHeight="1" x14ac:dyDescent="0.15">
      <c r="A276" s="35"/>
      <c r="B276" s="152" t="s">
        <v>845</v>
      </c>
      <c r="C276" s="115" t="s">
        <v>154</v>
      </c>
      <c r="D276" s="147">
        <v>0</v>
      </c>
      <c r="E276" s="147">
        <v>0</v>
      </c>
      <c r="F276" s="147">
        <v>0</v>
      </c>
      <c r="G276" s="147">
        <v>0</v>
      </c>
      <c r="H276" s="316">
        <v>0</v>
      </c>
      <c r="I276" s="535">
        <f t="shared" si="7"/>
        <v>0</v>
      </c>
    </row>
    <row r="277" spans="1:9" ht="10.5" customHeight="1" x14ac:dyDescent="0.15">
      <c r="A277" s="35"/>
      <c r="B277" s="152" t="s">
        <v>846</v>
      </c>
      <c r="C277" s="115" t="s">
        <v>155</v>
      </c>
      <c r="D277" s="147">
        <v>0</v>
      </c>
      <c r="E277" s="147">
        <v>0</v>
      </c>
      <c r="F277" s="147">
        <v>0</v>
      </c>
      <c r="G277" s="147">
        <v>0</v>
      </c>
      <c r="H277" s="316">
        <v>0</v>
      </c>
      <c r="I277" s="535">
        <f t="shared" si="7"/>
        <v>0</v>
      </c>
    </row>
    <row r="278" spans="1:9" ht="10.5" customHeight="1" x14ac:dyDescent="0.15">
      <c r="A278" s="35"/>
      <c r="B278" s="152" t="s">
        <v>1582</v>
      </c>
      <c r="C278" s="115" t="s">
        <v>156</v>
      </c>
      <c r="D278" s="147">
        <v>0</v>
      </c>
      <c r="E278" s="147">
        <v>0</v>
      </c>
      <c r="F278" s="147">
        <v>0</v>
      </c>
      <c r="G278" s="147">
        <v>0</v>
      </c>
      <c r="H278" s="316">
        <v>0</v>
      </c>
      <c r="I278" s="535">
        <f t="shared" si="7"/>
        <v>0</v>
      </c>
    </row>
    <row r="279" spans="1:9" ht="10.5" customHeight="1" x14ac:dyDescent="0.15">
      <c r="A279" s="35"/>
      <c r="B279" s="152" t="s">
        <v>847</v>
      </c>
      <c r="C279" s="115" t="s">
        <v>157</v>
      </c>
      <c r="D279" s="147">
        <v>0</v>
      </c>
      <c r="E279" s="147">
        <v>0</v>
      </c>
      <c r="F279" s="147">
        <v>0</v>
      </c>
      <c r="G279" s="147">
        <v>0</v>
      </c>
      <c r="H279" s="316">
        <v>0</v>
      </c>
      <c r="I279" s="535">
        <f t="shared" si="7"/>
        <v>0</v>
      </c>
    </row>
    <row r="280" spans="1:9" ht="10.5" customHeight="1" x14ac:dyDescent="0.15">
      <c r="A280" s="35"/>
      <c r="B280" s="152" t="s">
        <v>1583</v>
      </c>
      <c r="C280" s="115" t="s">
        <v>160</v>
      </c>
      <c r="D280" s="147">
        <v>0</v>
      </c>
      <c r="E280" s="147">
        <v>0</v>
      </c>
      <c r="F280" s="147">
        <v>0</v>
      </c>
      <c r="G280" s="147">
        <v>0</v>
      </c>
      <c r="H280" s="316">
        <v>0</v>
      </c>
      <c r="I280" s="535">
        <f t="shared" si="7"/>
        <v>0</v>
      </c>
    </row>
    <row r="281" spans="1:9" ht="10.5" customHeight="1" x14ac:dyDescent="0.15">
      <c r="A281" s="35"/>
      <c r="B281" s="152" t="s">
        <v>634</v>
      </c>
      <c r="C281" s="115" t="s">
        <v>165</v>
      </c>
      <c r="D281" s="147">
        <v>0</v>
      </c>
      <c r="E281" s="147">
        <v>0</v>
      </c>
      <c r="F281" s="147">
        <v>0</v>
      </c>
      <c r="G281" s="147">
        <v>0</v>
      </c>
      <c r="H281" s="316">
        <v>0</v>
      </c>
      <c r="I281" s="535">
        <f t="shared" si="7"/>
        <v>0</v>
      </c>
    </row>
    <row r="282" spans="1:9" ht="10.5" customHeight="1" x14ac:dyDescent="0.15">
      <c r="A282" s="35"/>
      <c r="B282" s="152" t="s">
        <v>202</v>
      </c>
      <c r="C282" s="115" t="s">
        <v>171</v>
      </c>
      <c r="D282" s="147">
        <v>0</v>
      </c>
      <c r="E282" s="147">
        <v>0</v>
      </c>
      <c r="F282" s="147">
        <v>0</v>
      </c>
      <c r="G282" s="147">
        <v>0</v>
      </c>
      <c r="H282" s="316">
        <v>0</v>
      </c>
      <c r="I282" s="535">
        <f t="shared" si="7"/>
        <v>0</v>
      </c>
    </row>
    <row r="283" spans="1:9" ht="10.5" customHeight="1" x14ac:dyDescent="0.15">
      <c r="A283" s="35"/>
      <c r="B283" s="152" t="s">
        <v>630</v>
      </c>
      <c r="C283" s="115" t="s">
        <v>172</v>
      </c>
      <c r="D283" s="147">
        <v>0</v>
      </c>
      <c r="E283" s="147">
        <v>0</v>
      </c>
      <c r="F283" s="147">
        <v>0</v>
      </c>
      <c r="G283" s="147">
        <v>0</v>
      </c>
      <c r="H283" s="316">
        <v>0</v>
      </c>
      <c r="I283" s="535">
        <f t="shared" si="7"/>
        <v>0</v>
      </c>
    </row>
    <row r="284" spans="1:9" ht="10.5" customHeight="1" x14ac:dyDescent="0.15">
      <c r="A284" s="35"/>
      <c r="B284" s="652" t="s">
        <v>631</v>
      </c>
      <c r="C284" s="653" t="s">
        <v>173</v>
      </c>
      <c r="D284" s="147">
        <v>0</v>
      </c>
      <c r="E284" s="147">
        <v>0</v>
      </c>
      <c r="F284" s="147">
        <v>0</v>
      </c>
      <c r="G284" s="147">
        <v>0</v>
      </c>
      <c r="H284" s="316">
        <v>0</v>
      </c>
      <c r="I284" s="535">
        <f t="shared" si="7"/>
        <v>0</v>
      </c>
    </row>
    <row r="285" spans="1:9" ht="10.5" customHeight="1" x14ac:dyDescent="0.15">
      <c r="A285" s="35"/>
      <c r="B285" s="152" t="s">
        <v>1584</v>
      </c>
      <c r="C285" s="115" t="s">
        <v>178</v>
      </c>
      <c r="D285" s="147">
        <v>0</v>
      </c>
      <c r="E285" s="147">
        <v>0</v>
      </c>
      <c r="F285" s="147">
        <v>0</v>
      </c>
      <c r="G285" s="147">
        <v>0</v>
      </c>
      <c r="H285" s="316">
        <v>0</v>
      </c>
      <c r="I285" s="535">
        <f t="shared" si="7"/>
        <v>0</v>
      </c>
    </row>
    <row r="286" spans="1:9" ht="10.5" customHeight="1" x14ac:dyDescent="0.15">
      <c r="A286" s="35"/>
      <c r="B286" s="152" t="s">
        <v>174</v>
      </c>
      <c r="C286" s="115" t="s">
        <v>179</v>
      </c>
      <c r="D286" s="147">
        <v>0</v>
      </c>
      <c r="E286" s="147">
        <v>0</v>
      </c>
      <c r="F286" s="147">
        <v>0</v>
      </c>
      <c r="G286" s="147">
        <v>0</v>
      </c>
      <c r="H286" s="316">
        <v>0</v>
      </c>
      <c r="I286" s="535">
        <f t="shared" si="7"/>
        <v>0</v>
      </c>
    </row>
    <row r="287" spans="1:9" ht="10.5" customHeight="1" x14ac:dyDescent="0.15">
      <c r="A287" s="35"/>
      <c r="B287" s="152" t="s">
        <v>175</v>
      </c>
      <c r="C287" s="115" t="s">
        <v>180</v>
      </c>
      <c r="D287" s="147">
        <v>0</v>
      </c>
      <c r="E287" s="147">
        <v>0</v>
      </c>
      <c r="F287" s="147">
        <v>0</v>
      </c>
      <c r="G287" s="147">
        <v>0</v>
      </c>
      <c r="H287" s="316">
        <v>0</v>
      </c>
      <c r="I287" s="535">
        <f t="shared" si="7"/>
        <v>0</v>
      </c>
    </row>
    <row r="288" spans="1:9" ht="10.5" customHeight="1" x14ac:dyDescent="0.15">
      <c r="A288" s="35"/>
      <c r="B288" s="152" t="s">
        <v>176</v>
      </c>
      <c r="C288" s="115" t="s">
        <v>181</v>
      </c>
      <c r="D288" s="147">
        <v>0</v>
      </c>
      <c r="E288" s="147">
        <v>0</v>
      </c>
      <c r="F288" s="147">
        <v>0</v>
      </c>
      <c r="G288" s="147">
        <v>0</v>
      </c>
      <c r="H288" s="316">
        <v>0</v>
      </c>
      <c r="I288" s="535">
        <f t="shared" si="7"/>
        <v>0</v>
      </c>
    </row>
    <row r="289" spans="1:9" ht="10.5" customHeight="1" x14ac:dyDescent="0.15">
      <c r="A289" s="35"/>
      <c r="B289" s="152" t="s">
        <v>177</v>
      </c>
      <c r="C289" s="115" t="s">
        <v>182</v>
      </c>
      <c r="D289" s="147">
        <v>0</v>
      </c>
      <c r="E289" s="147">
        <v>0</v>
      </c>
      <c r="F289" s="147">
        <v>0</v>
      </c>
      <c r="G289" s="147">
        <v>0</v>
      </c>
      <c r="H289" s="316">
        <v>0</v>
      </c>
      <c r="I289" s="535">
        <f>SUM(G289+H289)</f>
        <v>0</v>
      </c>
    </row>
    <row r="290" spans="1:9" ht="10.5" customHeight="1" thickBot="1" x14ac:dyDescent="0.2">
      <c r="A290" s="35"/>
      <c r="B290" s="152" t="s">
        <v>632</v>
      </c>
      <c r="C290" s="115" t="s">
        <v>183</v>
      </c>
      <c r="D290" s="144">
        <v>0</v>
      </c>
      <c r="E290" s="144">
        <v>0</v>
      </c>
      <c r="F290" s="144">
        <v>0</v>
      </c>
      <c r="G290" s="147">
        <v>0</v>
      </c>
      <c r="H290" s="317">
        <v>0</v>
      </c>
      <c r="I290" s="573">
        <f>SUM(G290+H290)</f>
        <v>0</v>
      </c>
    </row>
    <row r="291" spans="1:9" ht="10.5" customHeight="1" thickTop="1" thickBot="1" x14ac:dyDescent="0.2">
      <c r="A291" s="35"/>
      <c r="B291" s="152"/>
      <c r="C291" s="115" t="s">
        <v>659</v>
      </c>
      <c r="D291" s="169">
        <f>SUM(D254:D290)</f>
        <v>0</v>
      </c>
      <c r="E291" s="169">
        <f>SUM(E254:E290)</f>
        <v>0</v>
      </c>
      <c r="F291" s="169">
        <f>SUM(F254:F290)</f>
        <v>0</v>
      </c>
      <c r="G291" s="169">
        <f>SUM(G254:G290)</f>
        <v>0</v>
      </c>
      <c r="H291" s="169">
        <f>SUM(H254:H290)</f>
        <v>0</v>
      </c>
      <c r="I291" s="304">
        <f>G291+H291</f>
        <v>0</v>
      </c>
    </row>
    <row r="292" spans="1:9" ht="10.5" customHeight="1" thickTop="1" x14ac:dyDescent="0.15">
      <c r="A292" s="35"/>
      <c r="B292" s="152"/>
      <c r="C292" s="115"/>
      <c r="D292" s="14"/>
      <c r="E292" s="14"/>
      <c r="F292" s="14"/>
      <c r="G292" s="14"/>
      <c r="H292" s="305"/>
      <c r="I292" s="305"/>
    </row>
    <row r="293" spans="1:9" ht="10.5" customHeight="1" x14ac:dyDescent="0.15">
      <c r="A293" s="35" t="s">
        <v>660</v>
      </c>
      <c r="C293" s="115"/>
      <c r="D293" s="14"/>
      <c r="E293" s="14"/>
      <c r="F293" s="14"/>
      <c r="G293" s="14"/>
      <c r="H293" s="305"/>
      <c r="I293" s="305"/>
    </row>
    <row r="294" spans="1:9" s="309" customFormat="1" x14ac:dyDescent="0.15">
      <c r="B294" s="311" t="s">
        <v>1577</v>
      </c>
      <c r="C294" s="312" t="s">
        <v>228</v>
      </c>
      <c r="D294" s="316">
        <v>0</v>
      </c>
      <c r="E294" s="316">
        <v>0</v>
      </c>
      <c r="F294" s="316">
        <v>0</v>
      </c>
      <c r="G294" s="528">
        <f t="array" ref="G294">SUM(IF(CertFund&amp;CertProg&amp;CertObj=RIGHT(LEFT($A$2,7),2)&amp;LEFT(A293,4)&amp;B294,CertSalary))</f>
        <v>0</v>
      </c>
      <c r="H294" s="527">
        <v>0</v>
      </c>
      <c r="I294" s="566">
        <f>SUM(G294+H294)</f>
        <v>0</v>
      </c>
    </row>
    <row r="295" spans="1:9" s="309" customFormat="1" x14ac:dyDescent="0.15">
      <c r="B295" s="311" t="s">
        <v>1577</v>
      </c>
      <c r="C295" s="312" t="s">
        <v>510</v>
      </c>
      <c r="D295" s="316">
        <v>0</v>
      </c>
      <c r="E295" s="316">
        <v>0</v>
      </c>
      <c r="F295" s="316">
        <v>0</v>
      </c>
      <c r="G295" s="316">
        <v>0</v>
      </c>
      <c r="H295" s="527">
        <v>0</v>
      </c>
      <c r="I295" s="566">
        <f>SUM(G295+H295)</f>
        <v>0</v>
      </c>
    </row>
    <row r="296" spans="1:9" s="309" customFormat="1" x14ac:dyDescent="0.15">
      <c r="A296" s="312"/>
      <c r="B296" s="311" t="s">
        <v>1578</v>
      </c>
      <c r="C296" s="312" t="s">
        <v>936</v>
      </c>
      <c r="D296" s="316">
        <v>0</v>
      </c>
      <c r="E296" s="316">
        <v>0</v>
      </c>
      <c r="F296" s="316">
        <v>0</v>
      </c>
      <c r="G296" s="529">
        <f t="array" ref="G296">SUM(IF(CertFund&amp;CertProg&amp;CertObj=RIGHT(LEFT($A$2,7),2)&amp;LEFT(A293,4)&amp;B294,CertBen))</f>
        <v>0</v>
      </c>
      <c r="H296" s="527">
        <v>0</v>
      </c>
      <c r="I296" s="566">
        <f>SUM(G296+H296)</f>
        <v>0</v>
      </c>
    </row>
    <row r="297" spans="1:9" s="309" customFormat="1" x14ac:dyDescent="0.15">
      <c r="A297" s="312"/>
      <c r="B297" s="311" t="s">
        <v>1578</v>
      </c>
      <c r="C297" s="312" t="s">
        <v>511</v>
      </c>
      <c r="D297" s="316">
        <v>0</v>
      </c>
      <c r="E297" s="316">
        <v>0</v>
      </c>
      <c r="F297" s="316">
        <v>0</v>
      </c>
      <c r="G297" s="316">
        <v>0</v>
      </c>
      <c r="H297" s="527">
        <v>0</v>
      </c>
      <c r="I297" s="566">
        <f>SUM(G297+H297)</f>
        <v>0</v>
      </c>
    </row>
    <row r="298" spans="1:9" ht="10.5" customHeight="1" x14ac:dyDescent="0.15">
      <c r="A298" s="35"/>
      <c r="B298" s="152" t="s">
        <v>1579</v>
      </c>
      <c r="C298" s="115" t="s">
        <v>118</v>
      </c>
      <c r="D298" s="147">
        <v>0</v>
      </c>
      <c r="E298" s="147">
        <v>0</v>
      </c>
      <c r="F298" s="147">
        <v>0</v>
      </c>
      <c r="G298" s="147">
        <v>0</v>
      </c>
      <c r="H298" s="315">
        <v>0</v>
      </c>
      <c r="I298" s="572">
        <f t="shared" ref="I298:I322" si="8">SUM(G298+H298)</f>
        <v>0</v>
      </c>
    </row>
    <row r="299" spans="1:9" ht="10.5" customHeight="1" x14ac:dyDescent="0.15">
      <c r="A299" s="35"/>
      <c r="B299" s="152" t="s">
        <v>1580</v>
      </c>
      <c r="C299" s="115" t="s">
        <v>119</v>
      </c>
      <c r="D299" s="147">
        <v>0</v>
      </c>
      <c r="E299" s="147">
        <v>0</v>
      </c>
      <c r="F299" s="147">
        <v>0</v>
      </c>
      <c r="G299" s="147">
        <v>0</v>
      </c>
      <c r="H299" s="315">
        <v>0</v>
      </c>
      <c r="I299" s="572">
        <f t="shared" si="8"/>
        <v>0</v>
      </c>
    </row>
    <row r="300" spans="1:9" ht="10.5" customHeight="1" x14ac:dyDescent="0.15">
      <c r="A300" s="35"/>
      <c r="B300" s="152" t="s">
        <v>120</v>
      </c>
      <c r="C300" s="115" t="s">
        <v>121</v>
      </c>
      <c r="D300" s="147">
        <v>0</v>
      </c>
      <c r="E300" s="147">
        <v>0</v>
      </c>
      <c r="F300" s="147">
        <v>0</v>
      </c>
      <c r="G300" s="147">
        <v>0</v>
      </c>
      <c r="H300" s="315">
        <v>0</v>
      </c>
      <c r="I300" s="572">
        <f t="shared" si="8"/>
        <v>0</v>
      </c>
    </row>
    <row r="301" spans="1:9" ht="10.5" customHeight="1" x14ac:dyDescent="0.15">
      <c r="A301" s="35"/>
      <c r="B301" s="152" t="s">
        <v>122</v>
      </c>
      <c r="C301" s="115" t="s">
        <v>123</v>
      </c>
      <c r="D301" s="147">
        <v>0</v>
      </c>
      <c r="E301" s="147">
        <v>0</v>
      </c>
      <c r="F301" s="147">
        <v>0</v>
      </c>
      <c r="G301" s="147">
        <v>0</v>
      </c>
      <c r="H301" s="315">
        <v>0</v>
      </c>
      <c r="I301" s="572">
        <f t="shared" si="8"/>
        <v>0</v>
      </c>
    </row>
    <row r="302" spans="1:9" ht="10.5" customHeight="1" x14ac:dyDescent="0.15">
      <c r="A302" s="35"/>
      <c r="B302" s="152" t="s">
        <v>1581</v>
      </c>
      <c r="C302" s="115" t="s">
        <v>124</v>
      </c>
      <c r="D302" s="147">
        <v>0</v>
      </c>
      <c r="E302" s="147">
        <v>0</v>
      </c>
      <c r="F302" s="147">
        <v>0</v>
      </c>
      <c r="G302" s="147">
        <v>0</v>
      </c>
      <c r="H302" s="315">
        <v>0</v>
      </c>
      <c r="I302" s="572">
        <f t="shared" si="8"/>
        <v>0</v>
      </c>
    </row>
    <row r="303" spans="1:9" ht="10.5" customHeight="1" x14ac:dyDescent="0.15">
      <c r="A303" s="35"/>
      <c r="B303" s="152" t="s">
        <v>675</v>
      </c>
      <c r="C303" s="115" t="s">
        <v>698</v>
      </c>
      <c r="D303" s="147">
        <v>0</v>
      </c>
      <c r="E303" s="147">
        <v>0</v>
      </c>
      <c r="F303" s="147">
        <v>0</v>
      </c>
      <c r="G303" s="147">
        <v>0</v>
      </c>
      <c r="H303" s="315">
        <v>0</v>
      </c>
      <c r="I303" s="572">
        <f t="shared" si="8"/>
        <v>0</v>
      </c>
    </row>
    <row r="304" spans="1:9" ht="10.5" customHeight="1" x14ac:dyDescent="0.15">
      <c r="A304" s="35"/>
      <c r="B304" s="152" t="s">
        <v>1624</v>
      </c>
      <c r="C304" s="115" t="s">
        <v>840</v>
      </c>
      <c r="D304" s="147">
        <v>0</v>
      </c>
      <c r="E304" s="147">
        <v>0</v>
      </c>
      <c r="F304" s="147">
        <v>0</v>
      </c>
      <c r="G304" s="147">
        <v>0</v>
      </c>
      <c r="H304" s="315">
        <v>0</v>
      </c>
      <c r="I304" s="572">
        <f t="shared" si="8"/>
        <v>0</v>
      </c>
    </row>
    <row r="305" spans="1:9" ht="10.5" customHeight="1" x14ac:dyDescent="0.15">
      <c r="A305" s="35"/>
      <c r="B305" s="152" t="s">
        <v>1625</v>
      </c>
      <c r="C305" s="115" t="s">
        <v>842</v>
      </c>
      <c r="D305" s="147">
        <v>0</v>
      </c>
      <c r="E305" s="147">
        <v>0</v>
      </c>
      <c r="F305" s="147">
        <v>0</v>
      </c>
      <c r="G305" s="147">
        <v>0</v>
      </c>
      <c r="H305" s="315">
        <v>0</v>
      </c>
      <c r="I305" s="572">
        <f t="shared" si="8"/>
        <v>0</v>
      </c>
    </row>
    <row r="306" spans="1:9" ht="10.5" customHeight="1" x14ac:dyDescent="0.15">
      <c r="A306" s="35"/>
      <c r="B306" s="152" t="s">
        <v>843</v>
      </c>
      <c r="C306" s="115" t="s">
        <v>848</v>
      </c>
      <c r="D306" s="147">
        <v>0</v>
      </c>
      <c r="E306" s="147">
        <v>0</v>
      </c>
      <c r="F306" s="147">
        <v>0</v>
      </c>
      <c r="G306" s="147">
        <v>0</v>
      </c>
      <c r="H306" s="315">
        <v>0</v>
      </c>
      <c r="I306" s="572">
        <f t="shared" si="8"/>
        <v>0</v>
      </c>
    </row>
    <row r="307" spans="1:9" ht="10.5" customHeight="1" x14ac:dyDescent="0.15">
      <c r="A307" s="35"/>
      <c r="B307" s="152" t="s">
        <v>844</v>
      </c>
      <c r="C307" s="115" t="s">
        <v>186</v>
      </c>
      <c r="D307" s="147">
        <v>0</v>
      </c>
      <c r="E307" s="147">
        <v>0</v>
      </c>
      <c r="F307" s="147">
        <v>0</v>
      </c>
      <c r="G307" s="147">
        <v>0</v>
      </c>
      <c r="H307" s="315">
        <v>0</v>
      </c>
      <c r="I307" s="572">
        <f t="shared" si="8"/>
        <v>0</v>
      </c>
    </row>
    <row r="308" spans="1:9" ht="10.5" customHeight="1" x14ac:dyDescent="0.15">
      <c r="A308" s="35"/>
      <c r="B308" s="152" t="s">
        <v>845</v>
      </c>
      <c r="C308" s="115" t="s">
        <v>154</v>
      </c>
      <c r="D308" s="147">
        <v>0</v>
      </c>
      <c r="E308" s="147">
        <v>0</v>
      </c>
      <c r="F308" s="147">
        <v>0</v>
      </c>
      <c r="G308" s="147">
        <v>0</v>
      </c>
      <c r="H308" s="315">
        <v>0</v>
      </c>
      <c r="I308" s="572">
        <f t="shared" si="8"/>
        <v>0</v>
      </c>
    </row>
    <row r="309" spans="1:9" ht="10.5" customHeight="1" x14ac:dyDescent="0.15">
      <c r="A309" s="35"/>
      <c r="B309" s="152" t="s">
        <v>846</v>
      </c>
      <c r="C309" s="115" t="s">
        <v>155</v>
      </c>
      <c r="D309" s="147">
        <v>0</v>
      </c>
      <c r="E309" s="147">
        <v>0</v>
      </c>
      <c r="F309" s="147">
        <v>0</v>
      </c>
      <c r="G309" s="147">
        <v>0</v>
      </c>
      <c r="H309" s="315">
        <v>0</v>
      </c>
      <c r="I309" s="572">
        <f t="shared" si="8"/>
        <v>0</v>
      </c>
    </row>
    <row r="310" spans="1:9" ht="10.5" customHeight="1" x14ac:dyDescent="0.15">
      <c r="A310" s="35"/>
      <c r="B310" s="152" t="s">
        <v>332</v>
      </c>
      <c r="C310" s="115" t="s">
        <v>463</v>
      </c>
      <c r="D310" s="147">
        <v>0</v>
      </c>
      <c r="E310" s="147">
        <v>0</v>
      </c>
      <c r="F310" s="147">
        <v>0</v>
      </c>
      <c r="G310" s="147">
        <v>0</v>
      </c>
      <c r="H310" s="315">
        <v>0</v>
      </c>
      <c r="I310" s="572">
        <f t="shared" si="8"/>
        <v>0</v>
      </c>
    </row>
    <row r="311" spans="1:9" ht="10.5" customHeight="1" x14ac:dyDescent="0.15">
      <c r="A311" s="35"/>
      <c r="B311" s="152" t="s">
        <v>1582</v>
      </c>
      <c r="C311" s="115" t="s">
        <v>156</v>
      </c>
      <c r="D311" s="147">
        <v>0</v>
      </c>
      <c r="E311" s="147">
        <v>0</v>
      </c>
      <c r="F311" s="147">
        <v>0</v>
      </c>
      <c r="G311" s="147">
        <v>0</v>
      </c>
      <c r="H311" s="315">
        <v>0</v>
      </c>
      <c r="I311" s="572">
        <f t="shared" si="8"/>
        <v>0</v>
      </c>
    </row>
    <row r="312" spans="1:9" ht="10.5" customHeight="1" x14ac:dyDescent="0.15">
      <c r="A312" s="35"/>
      <c r="B312" s="152" t="s">
        <v>847</v>
      </c>
      <c r="C312" s="115" t="s">
        <v>157</v>
      </c>
      <c r="D312" s="147">
        <v>0</v>
      </c>
      <c r="E312" s="147">
        <v>0</v>
      </c>
      <c r="F312" s="147">
        <v>0</v>
      </c>
      <c r="G312" s="147">
        <v>0</v>
      </c>
      <c r="H312" s="315">
        <v>0</v>
      </c>
      <c r="I312" s="572">
        <f t="shared" si="8"/>
        <v>0</v>
      </c>
    </row>
    <row r="313" spans="1:9" ht="10.5" customHeight="1" x14ac:dyDescent="0.15">
      <c r="A313" s="35"/>
      <c r="B313" s="152" t="s">
        <v>1583</v>
      </c>
      <c r="C313" s="115" t="s">
        <v>160</v>
      </c>
      <c r="D313" s="147">
        <v>0</v>
      </c>
      <c r="E313" s="147">
        <v>0</v>
      </c>
      <c r="F313" s="147">
        <v>0</v>
      </c>
      <c r="G313" s="147">
        <v>0</v>
      </c>
      <c r="H313" s="315">
        <v>0</v>
      </c>
      <c r="I313" s="572">
        <f t="shared" si="8"/>
        <v>0</v>
      </c>
    </row>
    <row r="314" spans="1:9" ht="10.5" customHeight="1" x14ac:dyDescent="0.15">
      <c r="A314" s="35"/>
      <c r="B314" s="152" t="s">
        <v>634</v>
      </c>
      <c r="C314" s="115" t="s">
        <v>165</v>
      </c>
      <c r="D314" s="147">
        <v>0</v>
      </c>
      <c r="E314" s="147">
        <v>0</v>
      </c>
      <c r="F314" s="147">
        <v>0</v>
      </c>
      <c r="G314" s="147">
        <v>0</v>
      </c>
      <c r="H314" s="315">
        <v>0</v>
      </c>
      <c r="I314" s="572">
        <f t="shared" si="8"/>
        <v>0</v>
      </c>
    </row>
    <row r="315" spans="1:9" ht="10.5" customHeight="1" x14ac:dyDescent="0.15">
      <c r="A315" s="35"/>
      <c r="B315" s="152" t="s">
        <v>630</v>
      </c>
      <c r="C315" s="115" t="s">
        <v>172</v>
      </c>
      <c r="D315" s="147">
        <v>0</v>
      </c>
      <c r="E315" s="147">
        <v>0</v>
      </c>
      <c r="F315" s="147">
        <v>0</v>
      </c>
      <c r="G315" s="147">
        <v>0</v>
      </c>
      <c r="H315" s="315">
        <v>0</v>
      </c>
      <c r="I315" s="572">
        <f t="shared" si="8"/>
        <v>0</v>
      </c>
    </row>
    <row r="316" spans="1:9" ht="10.5" customHeight="1" x14ac:dyDescent="0.15">
      <c r="A316" s="35"/>
      <c r="B316" s="652" t="s">
        <v>631</v>
      </c>
      <c r="C316" s="653" t="s">
        <v>173</v>
      </c>
      <c r="D316" s="147">
        <v>0</v>
      </c>
      <c r="E316" s="147">
        <v>0</v>
      </c>
      <c r="F316" s="147">
        <v>0</v>
      </c>
      <c r="G316" s="147">
        <v>0</v>
      </c>
      <c r="H316" s="315">
        <v>0</v>
      </c>
      <c r="I316" s="572">
        <f t="shared" si="8"/>
        <v>0</v>
      </c>
    </row>
    <row r="317" spans="1:9" ht="10.5" customHeight="1" x14ac:dyDescent="0.15">
      <c r="A317" s="35"/>
      <c r="B317" s="152" t="s">
        <v>1584</v>
      </c>
      <c r="C317" s="115" t="s">
        <v>178</v>
      </c>
      <c r="D317" s="147">
        <v>0</v>
      </c>
      <c r="E317" s="147">
        <v>0</v>
      </c>
      <c r="F317" s="147">
        <v>0</v>
      </c>
      <c r="G317" s="147">
        <v>0</v>
      </c>
      <c r="H317" s="315">
        <v>0</v>
      </c>
      <c r="I317" s="572">
        <f t="shared" si="8"/>
        <v>0</v>
      </c>
    </row>
    <row r="318" spans="1:9" ht="10.5" customHeight="1" x14ac:dyDescent="0.15">
      <c r="A318" s="35"/>
      <c r="B318" s="152" t="s">
        <v>174</v>
      </c>
      <c r="C318" s="115" t="s">
        <v>179</v>
      </c>
      <c r="D318" s="147">
        <v>0</v>
      </c>
      <c r="E318" s="147">
        <v>0</v>
      </c>
      <c r="F318" s="147">
        <v>0</v>
      </c>
      <c r="G318" s="147">
        <v>0</v>
      </c>
      <c r="H318" s="315">
        <v>0</v>
      </c>
      <c r="I318" s="572">
        <f t="shared" si="8"/>
        <v>0</v>
      </c>
    </row>
    <row r="319" spans="1:9" ht="10.5" customHeight="1" x14ac:dyDescent="0.15">
      <c r="A319" s="35"/>
      <c r="B319" s="152" t="s">
        <v>175</v>
      </c>
      <c r="C319" s="115" t="s">
        <v>180</v>
      </c>
      <c r="D319" s="147">
        <v>0</v>
      </c>
      <c r="E319" s="147">
        <v>0</v>
      </c>
      <c r="F319" s="147">
        <v>0</v>
      </c>
      <c r="G319" s="147">
        <v>0</v>
      </c>
      <c r="H319" s="315">
        <v>0</v>
      </c>
      <c r="I319" s="572">
        <f t="shared" si="8"/>
        <v>0</v>
      </c>
    </row>
    <row r="320" spans="1:9" ht="10.5" customHeight="1" x14ac:dyDescent="0.15">
      <c r="A320" s="35"/>
      <c r="B320" s="152" t="s">
        <v>176</v>
      </c>
      <c r="C320" s="115" t="s">
        <v>181</v>
      </c>
      <c r="D320" s="147">
        <v>0</v>
      </c>
      <c r="E320" s="147">
        <v>0</v>
      </c>
      <c r="F320" s="147">
        <v>0</v>
      </c>
      <c r="G320" s="147">
        <v>0</v>
      </c>
      <c r="H320" s="315">
        <v>0</v>
      </c>
      <c r="I320" s="572">
        <f t="shared" si="8"/>
        <v>0</v>
      </c>
    </row>
    <row r="321" spans="1:9" ht="10.5" customHeight="1" x14ac:dyDescent="0.15">
      <c r="A321" s="35"/>
      <c r="B321" s="152" t="s">
        <v>177</v>
      </c>
      <c r="C321" s="115" t="s">
        <v>182</v>
      </c>
      <c r="D321" s="147">
        <v>0</v>
      </c>
      <c r="E321" s="147">
        <v>0</v>
      </c>
      <c r="F321" s="147">
        <v>0</v>
      </c>
      <c r="G321" s="147">
        <v>0</v>
      </c>
      <c r="H321" s="315">
        <v>0</v>
      </c>
      <c r="I321" s="572">
        <f t="shared" si="8"/>
        <v>0</v>
      </c>
    </row>
    <row r="322" spans="1:9" ht="10.5" customHeight="1" thickBot="1" x14ac:dyDescent="0.2">
      <c r="A322" s="35"/>
      <c r="B322" s="152" t="s">
        <v>632</v>
      </c>
      <c r="C322" s="115" t="s">
        <v>183</v>
      </c>
      <c r="D322" s="144">
        <v>0</v>
      </c>
      <c r="E322" s="144">
        <v>0</v>
      </c>
      <c r="F322" s="144">
        <v>0</v>
      </c>
      <c r="G322" s="144">
        <v>0</v>
      </c>
      <c r="H322" s="315">
        <v>0</v>
      </c>
      <c r="I322" s="572">
        <f t="shared" si="8"/>
        <v>0</v>
      </c>
    </row>
    <row r="323" spans="1:9" ht="10.5" customHeight="1" thickTop="1" thickBot="1" x14ac:dyDescent="0.2">
      <c r="A323" s="35"/>
      <c r="B323" s="152"/>
      <c r="C323" s="115" t="s">
        <v>661</v>
      </c>
      <c r="D323" s="169">
        <f>SUM(D294:D322)</f>
        <v>0</v>
      </c>
      <c r="E323" s="169">
        <f>SUM(E294:E322)</f>
        <v>0</v>
      </c>
      <c r="F323" s="169">
        <f>SUM(F294:F322)</f>
        <v>0</v>
      </c>
      <c r="G323" s="169">
        <f>SUM(G294:G322)</f>
        <v>0</v>
      </c>
      <c r="H323" s="169">
        <f>SUM(H294:H322)</f>
        <v>0</v>
      </c>
      <c r="I323" s="304">
        <f>G323+H323</f>
        <v>0</v>
      </c>
    </row>
    <row r="324" spans="1:9" ht="10.5" customHeight="1" thickTop="1" x14ac:dyDescent="0.15">
      <c r="A324" s="35"/>
      <c r="B324" s="152"/>
      <c r="C324" s="115"/>
      <c r="D324" s="14"/>
      <c r="E324" s="14"/>
      <c r="F324" s="14"/>
      <c r="G324" s="14"/>
      <c r="H324" s="320"/>
      <c r="I324" s="305"/>
    </row>
    <row r="325" spans="1:9" ht="10.5" customHeight="1" x14ac:dyDescent="0.15">
      <c r="A325" s="35" t="s">
        <v>662</v>
      </c>
      <c r="C325" s="115"/>
      <c r="D325" s="14"/>
      <c r="E325" s="14"/>
      <c r="F325" s="14"/>
      <c r="G325" s="14"/>
      <c r="H325" s="305"/>
      <c r="I325" s="305"/>
    </row>
    <row r="326" spans="1:9" s="309" customFormat="1" x14ac:dyDescent="0.15">
      <c r="B326" s="311" t="s">
        <v>1577</v>
      </c>
      <c r="C326" s="312" t="s">
        <v>228</v>
      </c>
      <c r="D326" s="316">
        <v>0</v>
      </c>
      <c r="E326" s="316">
        <v>0</v>
      </c>
      <c r="F326" s="316">
        <v>0</v>
      </c>
      <c r="G326" s="528">
        <f t="array" ref="G326">SUM(IF(CertFund&amp;CertProg&amp;CertObj=RIGHT(LEFT($A$2,7),2)&amp;LEFT(A325,4)&amp;B326,CertSalary))</f>
        <v>0</v>
      </c>
      <c r="H326" s="527">
        <v>0</v>
      </c>
      <c r="I326" s="566">
        <f>SUM(G326+H326)</f>
        <v>0</v>
      </c>
    </row>
    <row r="327" spans="1:9" s="309" customFormat="1" x14ac:dyDescent="0.15">
      <c r="B327" s="311" t="s">
        <v>1577</v>
      </c>
      <c r="C327" s="312" t="s">
        <v>510</v>
      </c>
      <c r="D327" s="316">
        <v>0</v>
      </c>
      <c r="E327" s="316">
        <v>0</v>
      </c>
      <c r="F327" s="316">
        <v>0</v>
      </c>
      <c r="G327" s="316">
        <v>0</v>
      </c>
      <c r="H327" s="527">
        <v>0</v>
      </c>
      <c r="I327" s="566">
        <f>SUM(G327+H327)</f>
        <v>0</v>
      </c>
    </row>
    <row r="328" spans="1:9" s="309" customFormat="1" x14ac:dyDescent="0.15">
      <c r="A328" s="312"/>
      <c r="B328" s="311" t="s">
        <v>1578</v>
      </c>
      <c r="C328" s="312" t="s">
        <v>936</v>
      </c>
      <c r="D328" s="316">
        <v>0</v>
      </c>
      <c r="E328" s="316">
        <v>0</v>
      </c>
      <c r="F328" s="316">
        <v>0</v>
      </c>
      <c r="G328" s="529">
        <f t="array" ref="G328">SUM(IF(CertFund&amp;CertProg&amp;CertObj=RIGHT(LEFT($A$2,7),2)&amp;LEFT(A325,4)&amp;B326,CertBen))</f>
        <v>0</v>
      </c>
      <c r="H328" s="527">
        <v>0</v>
      </c>
      <c r="I328" s="566">
        <f>SUM(G328+H328)</f>
        <v>0</v>
      </c>
    </row>
    <row r="329" spans="1:9" s="309" customFormat="1" x14ac:dyDescent="0.15">
      <c r="A329" s="312"/>
      <c r="B329" s="311" t="s">
        <v>1578</v>
      </c>
      <c r="C329" s="312" t="s">
        <v>511</v>
      </c>
      <c r="D329" s="316">
        <v>0</v>
      </c>
      <c r="E329" s="316">
        <v>0</v>
      </c>
      <c r="F329" s="316">
        <v>0</v>
      </c>
      <c r="G329" s="316">
        <v>0</v>
      </c>
      <c r="H329" s="527">
        <v>0</v>
      </c>
      <c r="I329" s="566">
        <f>SUM(G329+H329)</f>
        <v>0</v>
      </c>
    </row>
    <row r="330" spans="1:9" ht="10.5" customHeight="1" x14ac:dyDescent="0.15">
      <c r="A330" s="35"/>
      <c r="B330" s="152" t="s">
        <v>1579</v>
      </c>
      <c r="C330" s="115" t="s">
        <v>118</v>
      </c>
      <c r="D330" s="147">
        <v>0</v>
      </c>
      <c r="E330" s="147">
        <v>0</v>
      </c>
      <c r="F330" s="147">
        <v>0</v>
      </c>
      <c r="G330" s="147">
        <v>0</v>
      </c>
      <c r="H330" s="315">
        <v>0</v>
      </c>
      <c r="I330" s="572">
        <f t="shared" ref="I330:I352" si="9">SUM(G330+H330)</f>
        <v>0</v>
      </c>
    </row>
    <row r="331" spans="1:9" ht="10.5" customHeight="1" x14ac:dyDescent="0.15">
      <c r="A331" s="35"/>
      <c r="B331" s="152" t="s">
        <v>1580</v>
      </c>
      <c r="C331" s="115" t="s">
        <v>119</v>
      </c>
      <c r="D331" s="147">
        <v>0</v>
      </c>
      <c r="E331" s="147">
        <v>0</v>
      </c>
      <c r="F331" s="147">
        <v>0</v>
      </c>
      <c r="G331" s="147">
        <v>0</v>
      </c>
      <c r="H331" s="315">
        <v>0</v>
      </c>
      <c r="I331" s="572">
        <f t="shared" si="9"/>
        <v>0</v>
      </c>
    </row>
    <row r="332" spans="1:9" ht="10.5" customHeight="1" x14ac:dyDescent="0.15">
      <c r="A332" s="35"/>
      <c r="B332" s="152" t="s">
        <v>120</v>
      </c>
      <c r="C332" s="115" t="s">
        <v>121</v>
      </c>
      <c r="D332" s="147">
        <v>0</v>
      </c>
      <c r="E332" s="147">
        <v>0</v>
      </c>
      <c r="F332" s="147">
        <v>0</v>
      </c>
      <c r="G332" s="147">
        <v>0</v>
      </c>
      <c r="H332" s="315">
        <v>0</v>
      </c>
      <c r="I332" s="572">
        <f t="shared" si="9"/>
        <v>0</v>
      </c>
    </row>
    <row r="333" spans="1:9" ht="10.5" customHeight="1" x14ac:dyDescent="0.15">
      <c r="A333" s="35"/>
      <c r="B333" s="152" t="s">
        <v>122</v>
      </c>
      <c r="C333" s="115" t="s">
        <v>123</v>
      </c>
      <c r="D333" s="147">
        <v>0</v>
      </c>
      <c r="E333" s="147">
        <v>0</v>
      </c>
      <c r="F333" s="147">
        <v>0</v>
      </c>
      <c r="G333" s="147">
        <v>0</v>
      </c>
      <c r="H333" s="315">
        <v>0</v>
      </c>
      <c r="I333" s="572">
        <f t="shared" si="9"/>
        <v>0</v>
      </c>
    </row>
    <row r="334" spans="1:9" ht="10.5" customHeight="1" x14ac:dyDescent="0.15">
      <c r="A334" s="35"/>
      <c r="B334" s="152" t="s">
        <v>1581</v>
      </c>
      <c r="C334" s="115" t="s">
        <v>124</v>
      </c>
      <c r="D334" s="147">
        <v>0</v>
      </c>
      <c r="E334" s="147">
        <v>0</v>
      </c>
      <c r="F334" s="147">
        <v>0</v>
      </c>
      <c r="G334" s="147">
        <v>0</v>
      </c>
      <c r="H334" s="315">
        <v>0</v>
      </c>
      <c r="I334" s="572">
        <f t="shared" si="9"/>
        <v>0</v>
      </c>
    </row>
    <row r="335" spans="1:9" ht="10.5" customHeight="1" x14ac:dyDescent="0.15">
      <c r="A335" s="35"/>
      <c r="B335" s="152" t="s">
        <v>1624</v>
      </c>
      <c r="C335" s="115" t="s">
        <v>840</v>
      </c>
      <c r="D335" s="147">
        <v>0</v>
      </c>
      <c r="E335" s="147">
        <v>0</v>
      </c>
      <c r="F335" s="147">
        <v>0</v>
      </c>
      <c r="G335" s="147">
        <v>0</v>
      </c>
      <c r="H335" s="315">
        <v>0</v>
      </c>
      <c r="I335" s="572">
        <f t="shared" si="9"/>
        <v>0</v>
      </c>
    </row>
    <row r="336" spans="1:9" ht="10.5" customHeight="1" x14ac:dyDescent="0.15">
      <c r="A336" s="35"/>
      <c r="B336" s="152" t="s">
        <v>1625</v>
      </c>
      <c r="C336" s="115" t="s">
        <v>842</v>
      </c>
      <c r="D336" s="147">
        <v>0</v>
      </c>
      <c r="E336" s="147">
        <v>0</v>
      </c>
      <c r="F336" s="147">
        <v>0</v>
      </c>
      <c r="G336" s="147">
        <v>0</v>
      </c>
      <c r="H336" s="315">
        <v>0</v>
      </c>
      <c r="I336" s="572">
        <f t="shared" si="9"/>
        <v>0</v>
      </c>
    </row>
    <row r="337" spans="1:9" ht="10.5" customHeight="1" x14ac:dyDescent="0.15">
      <c r="A337" s="35"/>
      <c r="B337" s="152" t="s">
        <v>843</v>
      </c>
      <c r="C337" s="115" t="s">
        <v>848</v>
      </c>
      <c r="D337" s="147">
        <v>0</v>
      </c>
      <c r="E337" s="147">
        <v>0</v>
      </c>
      <c r="F337" s="147">
        <v>0</v>
      </c>
      <c r="G337" s="147">
        <v>0</v>
      </c>
      <c r="H337" s="315">
        <v>0</v>
      </c>
      <c r="I337" s="572">
        <f t="shared" si="9"/>
        <v>0</v>
      </c>
    </row>
    <row r="338" spans="1:9" ht="10.5" customHeight="1" x14ac:dyDescent="0.15">
      <c r="A338" s="35"/>
      <c r="B338" s="152" t="s">
        <v>844</v>
      </c>
      <c r="C338" s="115" t="s">
        <v>186</v>
      </c>
      <c r="D338" s="147">
        <v>0</v>
      </c>
      <c r="E338" s="147">
        <v>0</v>
      </c>
      <c r="F338" s="147">
        <v>0</v>
      </c>
      <c r="G338" s="147">
        <v>0</v>
      </c>
      <c r="H338" s="315">
        <v>0</v>
      </c>
      <c r="I338" s="572">
        <f t="shared" si="9"/>
        <v>0</v>
      </c>
    </row>
    <row r="339" spans="1:9" ht="10.5" customHeight="1" x14ac:dyDescent="0.15">
      <c r="A339" s="35"/>
      <c r="B339" s="152" t="s">
        <v>845</v>
      </c>
      <c r="C339" s="115" t="s">
        <v>154</v>
      </c>
      <c r="D339" s="147">
        <v>0</v>
      </c>
      <c r="E339" s="147">
        <v>0</v>
      </c>
      <c r="F339" s="147">
        <v>0</v>
      </c>
      <c r="G339" s="147">
        <v>0</v>
      </c>
      <c r="H339" s="315">
        <v>0</v>
      </c>
      <c r="I339" s="572">
        <f t="shared" si="9"/>
        <v>0</v>
      </c>
    </row>
    <row r="340" spans="1:9" ht="10.5" customHeight="1" x14ac:dyDescent="0.15">
      <c r="A340" s="35"/>
      <c r="B340" s="152" t="s">
        <v>846</v>
      </c>
      <c r="C340" s="115" t="s">
        <v>155</v>
      </c>
      <c r="D340" s="147">
        <v>0</v>
      </c>
      <c r="E340" s="147">
        <v>0</v>
      </c>
      <c r="F340" s="147">
        <v>0</v>
      </c>
      <c r="G340" s="147">
        <v>0</v>
      </c>
      <c r="H340" s="315">
        <v>0</v>
      </c>
      <c r="I340" s="572">
        <f t="shared" si="9"/>
        <v>0</v>
      </c>
    </row>
    <row r="341" spans="1:9" ht="10.5" customHeight="1" x14ac:dyDescent="0.15">
      <c r="A341" s="35"/>
      <c r="B341" s="152" t="s">
        <v>1582</v>
      </c>
      <c r="C341" s="115" t="s">
        <v>156</v>
      </c>
      <c r="D341" s="147">
        <v>0</v>
      </c>
      <c r="E341" s="147">
        <v>0</v>
      </c>
      <c r="F341" s="147">
        <v>0</v>
      </c>
      <c r="G341" s="147">
        <v>0</v>
      </c>
      <c r="H341" s="315">
        <v>0</v>
      </c>
      <c r="I341" s="572">
        <f t="shared" si="9"/>
        <v>0</v>
      </c>
    </row>
    <row r="342" spans="1:9" ht="10.5" customHeight="1" x14ac:dyDescent="0.15">
      <c r="A342" s="35"/>
      <c r="B342" s="152" t="s">
        <v>847</v>
      </c>
      <c r="C342" s="115" t="s">
        <v>157</v>
      </c>
      <c r="D342" s="147">
        <v>0</v>
      </c>
      <c r="E342" s="147">
        <v>0</v>
      </c>
      <c r="F342" s="147">
        <v>0</v>
      </c>
      <c r="G342" s="147">
        <v>0</v>
      </c>
      <c r="H342" s="315">
        <v>0</v>
      </c>
      <c r="I342" s="572">
        <f t="shared" si="9"/>
        <v>0</v>
      </c>
    </row>
    <row r="343" spans="1:9" ht="10.5" customHeight="1" x14ac:dyDescent="0.15">
      <c r="A343" s="35"/>
      <c r="B343" s="152" t="s">
        <v>1583</v>
      </c>
      <c r="C343" s="115" t="s">
        <v>160</v>
      </c>
      <c r="D343" s="147">
        <v>0</v>
      </c>
      <c r="E343" s="147">
        <v>0</v>
      </c>
      <c r="F343" s="147">
        <v>0</v>
      </c>
      <c r="G343" s="147">
        <v>0</v>
      </c>
      <c r="H343" s="315">
        <v>0</v>
      </c>
      <c r="I343" s="572">
        <f t="shared" si="9"/>
        <v>0</v>
      </c>
    </row>
    <row r="344" spans="1:9" ht="10.5" customHeight="1" x14ac:dyDescent="0.15">
      <c r="A344" s="35"/>
      <c r="B344" s="152" t="s">
        <v>634</v>
      </c>
      <c r="C344" s="115" t="s">
        <v>165</v>
      </c>
      <c r="D344" s="147">
        <v>0</v>
      </c>
      <c r="E344" s="147">
        <v>0</v>
      </c>
      <c r="F344" s="147">
        <v>0</v>
      </c>
      <c r="G344" s="147">
        <v>0</v>
      </c>
      <c r="H344" s="315">
        <v>0</v>
      </c>
      <c r="I344" s="572">
        <f t="shared" si="9"/>
        <v>0</v>
      </c>
    </row>
    <row r="345" spans="1:9" ht="10.5" customHeight="1" x14ac:dyDescent="0.15">
      <c r="A345" s="35"/>
      <c r="B345" s="152" t="s">
        <v>630</v>
      </c>
      <c r="C345" s="115" t="s">
        <v>172</v>
      </c>
      <c r="D345" s="147">
        <v>0</v>
      </c>
      <c r="E345" s="147">
        <v>0</v>
      </c>
      <c r="F345" s="147">
        <v>0</v>
      </c>
      <c r="G345" s="147">
        <v>0</v>
      </c>
      <c r="H345" s="315">
        <v>0</v>
      </c>
      <c r="I345" s="572">
        <f t="shared" si="9"/>
        <v>0</v>
      </c>
    </row>
    <row r="346" spans="1:9" ht="10.5" customHeight="1" x14ac:dyDescent="0.15">
      <c r="A346" s="35"/>
      <c r="B346" s="652" t="s">
        <v>631</v>
      </c>
      <c r="C346" s="653" t="s">
        <v>173</v>
      </c>
      <c r="D346" s="147">
        <v>0</v>
      </c>
      <c r="E346" s="147">
        <v>0</v>
      </c>
      <c r="F346" s="147">
        <v>0</v>
      </c>
      <c r="G346" s="147">
        <v>0</v>
      </c>
      <c r="H346" s="315">
        <v>0</v>
      </c>
      <c r="I346" s="572">
        <f t="shared" si="9"/>
        <v>0</v>
      </c>
    </row>
    <row r="347" spans="1:9" ht="10.5" customHeight="1" x14ac:dyDescent="0.15">
      <c r="A347" s="35"/>
      <c r="B347" s="152" t="s">
        <v>1584</v>
      </c>
      <c r="C347" s="115" t="s">
        <v>178</v>
      </c>
      <c r="D347" s="147">
        <v>0</v>
      </c>
      <c r="E347" s="147">
        <v>0</v>
      </c>
      <c r="F347" s="147">
        <v>0</v>
      </c>
      <c r="G347" s="147">
        <v>0</v>
      </c>
      <c r="H347" s="315">
        <v>0</v>
      </c>
      <c r="I347" s="572">
        <f t="shared" si="9"/>
        <v>0</v>
      </c>
    </row>
    <row r="348" spans="1:9" ht="10.5" customHeight="1" x14ac:dyDescent="0.15">
      <c r="A348" s="35"/>
      <c r="B348" s="152" t="s">
        <v>174</v>
      </c>
      <c r="C348" s="115" t="s">
        <v>179</v>
      </c>
      <c r="D348" s="147">
        <v>0</v>
      </c>
      <c r="E348" s="147">
        <v>0</v>
      </c>
      <c r="F348" s="147">
        <v>0</v>
      </c>
      <c r="G348" s="147">
        <v>0</v>
      </c>
      <c r="H348" s="315">
        <v>0</v>
      </c>
      <c r="I348" s="572">
        <f t="shared" si="9"/>
        <v>0</v>
      </c>
    </row>
    <row r="349" spans="1:9" ht="10.5" customHeight="1" x14ac:dyDescent="0.15">
      <c r="A349" s="35"/>
      <c r="B349" s="152" t="s">
        <v>175</v>
      </c>
      <c r="C349" s="115" t="s">
        <v>180</v>
      </c>
      <c r="D349" s="147">
        <v>0</v>
      </c>
      <c r="E349" s="147">
        <v>0</v>
      </c>
      <c r="F349" s="147">
        <v>0</v>
      </c>
      <c r="G349" s="147">
        <v>0</v>
      </c>
      <c r="H349" s="315">
        <v>0</v>
      </c>
      <c r="I349" s="572">
        <f t="shared" si="9"/>
        <v>0</v>
      </c>
    </row>
    <row r="350" spans="1:9" ht="10.5" customHeight="1" x14ac:dyDescent="0.15">
      <c r="A350" s="35"/>
      <c r="B350" s="152" t="s">
        <v>176</v>
      </c>
      <c r="C350" s="115" t="s">
        <v>181</v>
      </c>
      <c r="D350" s="147">
        <v>0</v>
      </c>
      <c r="E350" s="147">
        <v>0</v>
      </c>
      <c r="F350" s="147">
        <v>0</v>
      </c>
      <c r="G350" s="147">
        <v>0</v>
      </c>
      <c r="H350" s="315">
        <v>0</v>
      </c>
      <c r="I350" s="572">
        <f t="shared" si="9"/>
        <v>0</v>
      </c>
    </row>
    <row r="351" spans="1:9" ht="10.5" customHeight="1" x14ac:dyDescent="0.15">
      <c r="A351" s="35"/>
      <c r="B351" s="152" t="s">
        <v>177</v>
      </c>
      <c r="C351" s="115" t="s">
        <v>182</v>
      </c>
      <c r="D351" s="147">
        <v>0</v>
      </c>
      <c r="E351" s="147">
        <v>0</v>
      </c>
      <c r="F351" s="147">
        <v>0</v>
      </c>
      <c r="G351" s="147">
        <v>0</v>
      </c>
      <c r="H351" s="315">
        <v>0</v>
      </c>
      <c r="I351" s="572">
        <f t="shared" si="9"/>
        <v>0</v>
      </c>
    </row>
    <row r="352" spans="1:9" ht="10.5" customHeight="1" thickBot="1" x14ac:dyDescent="0.2">
      <c r="A352" s="35"/>
      <c r="B352" s="152" t="s">
        <v>632</v>
      </c>
      <c r="C352" s="115" t="s">
        <v>183</v>
      </c>
      <c r="D352" s="144">
        <v>0</v>
      </c>
      <c r="E352" s="144">
        <v>0</v>
      </c>
      <c r="F352" s="144">
        <v>0</v>
      </c>
      <c r="G352" s="144">
        <v>0</v>
      </c>
      <c r="H352" s="315">
        <v>0</v>
      </c>
      <c r="I352" s="572">
        <f t="shared" si="9"/>
        <v>0</v>
      </c>
    </row>
    <row r="353" spans="1:10" ht="10.5" customHeight="1" thickTop="1" thickBot="1" x14ac:dyDescent="0.2">
      <c r="A353" s="35"/>
      <c r="B353" s="152"/>
      <c r="C353" s="115" t="s">
        <v>663</v>
      </c>
      <c r="D353" s="169">
        <f>SUM(D326:D352)</f>
        <v>0</v>
      </c>
      <c r="E353" s="169">
        <f>SUM(E326:E352)</f>
        <v>0</v>
      </c>
      <c r="F353" s="169">
        <f>SUM(F326:F352)</f>
        <v>0</v>
      </c>
      <c r="G353" s="169">
        <f>SUM(G326:G352)</f>
        <v>0</v>
      </c>
      <c r="H353" s="169">
        <f>SUM(H326:H352)</f>
        <v>0</v>
      </c>
      <c r="I353" s="304">
        <f>G353+H353</f>
        <v>0</v>
      </c>
    </row>
    <row r="354" spans="1:10" ht="10.5" customHeight="1" thickTop="1" x14ac:dyDescent="0.15">
      <c r="A354" s="35"/>
      <c r="B354" s="152"/>
      <c r="C354" s="115"/>
      <c r="D354" s="14"/>
      <c r="E354" s="14"/>
      <c r="F354" s="14"/>
      <c r="G354" s="14"/>
      <c r="H354" s="308"/>
      <c r="I354" s="570"/>
    </row>
    <row r="355" spans="1:10" ht="10.5" customHeight="1" x14ac:dyDescent="0.15">
      <c r="A355" s="35" t="s">
        <v>664</v>
      </c>
      <c r="C355" s="115"/>
      <c r="D355" s="14"/>
      <c r="E355" s="14"/>
      <c r="F355" s="14"/>
      <c r="G355" s="14"/>
      <c r="H355" s="320"/>
      <c r="I355" s="305"/>
    </row>
    <row r="356" spans="1:10" s="309" customFormat="1" x14ac:dyDescent="0.15">
      <c r="B356" s="311" t="s">
        <v>1577</v>
      </c>
      <c r="C356" s="312" t="s">
        <v>228</v>
      </c>
      <c r="D356" s="316">
        <v>0</v>
      </c>
      <c r="E356" s="316">
        <v>0</v>
      </c>
      <c r="F356" s="316">
        <v>0</v>
      </c>
      <c r="G356" s="528">
        <f t="array" ref="G356">SUM(IF(CertFund&amp;CertProg&amp;CertObj=RIGHT(LEFT($A$2,7),2)&amp;LEFT(A355,4)&amp;B356,CertSalary))</f>
        <v>0</v>
      </c>
      <c r="H356" s="527">
        <v>0</v>
      </c>
      <c r="I356" s="566">
        <f>SUM(G356+H356)</f>
        <v>0</v>
      </c>
    </row>
    <row r="357" spans="1:10" s="309" customFormat="1" x14ac:dyDescent="0.15">
      <c r="B357" s="311" t="s">
        <v>1577</v>
      </c>
      <c r="C357" s="312" t="s">
        <v>510</v>
      </c>
      <c r="D357" s="316">
        <v>0</v>
      </c>
      <c r="E357" s="316">
        <v>0</v>
      </c>
      <c r="F357" s="316">
        <v>0</v>
      </c>
      <c r="G357" s="316">
        <v>0</v>
      </c>
      <c r="H357" s="527">
        <v>0</v>
      </c>
      <c r="I357" s="566">
        <f>SUM(G357+H357)</f>
        <v>0</v>
      </c>
    </row>
    <row r="358" spans="1:10" s="309" customFormat="1" x14ac:dyDescent="0.15">
      <c r="A358" s="312"/>
      <c r="B358" s="311" t="s">
        <v>1578</v>
      </c>
      <c r="C358" s="312" t="s">
        <v>936</v>
      </c>
      <c r="D358" s="316">
        <v>0</v>
      </c>
      <c r="E358" s="316">
        <v>0</v>
      </c>
      <c r="F358" s="316">
        <v>0</v>
      </c>
      <c r="G358" s="529">
        <f t="array" ref="G358">SUM(IF(CertFund&amp;CertProg&amp;CertObj=RIGHT(LEFT($A$2,7),2)&amp;LEFT(A355,4)&amp;B356,CertBen))</f>
        <v>0</v>
      </c>
      <c r="H358" s="527">
        <v>0</v>
      </c>
      <c r="I358" s="566">
        <f>SUM(G358+H358)</f>
        <v>0</v>
      </c>
    </row>
    <row r="359" spans="1:10" x14ac:dyDescent="0.15">
      <c r="A359" s="115"/>
      <c r="B359" s="152" t="s">
        <v>1578</v>
      </c>
      <c r="C359" s="115" t="s">
        <v>511</v>
      </c>
      <c r="D359" s="147">
        <v>0</v>
      </c>
      <c r="E359" s="147">
        <v>0</v>
      </c>
      <c r="F359" s="147">
        <v>0</v>
      </c>
      <c r="G359" s="147">
        <v>0</v>
      </c>
      <c r="H359" s="150">
        <v>0</v>
      </c>
      <c r="I359" s="567">
        <f>SUM(G359+H359)</f>
        <v>0</v>
      </c>
      <c r="J359" s="309"/>
    </row>
    <row r="360" spans="1:10" ht="10.5" customHeight="1" x14ac:dyDescent="0.15">
      <c r="A360" s="35"/>
      <c r="B360" s="152" t="s">
        <v>1579</v>
      </c>
      <c r="C360" s="115" t="s">
        <v>118</v>
      </c>
      <c r="D360" s="147">
        <v>0</v>
      </c>
      <c r="E360" s="147">
        <v>0</v>
      </c>
      <c r="F360" s="147">
        <v>0</v>
      </c>
      <c r="G360" s="147">
        <v>0</v>
      </c>
      <c r="H360" s="316">
        <v>0</v>
      </c>
      <c r="I360" s="535">
        <f t="shared" ref="I360:I382" si="10">SUM(G360+H360)</f>
        <v>0</v>
      </c>
    </row>
    <row r="361" spans="1:10" ht="10.5" customHeight="1" x14ac:dyDescent="0.15">
      <c r="A361" s="35"/>
      <c r="B361" s="152" t="s">
        <v>1580</v>
      </c>
      <c r="C361" s="115" t="s">
        <v>119</v>
      </c>
      <c r="D361" s="147">
        <v>0</v>
      </c>
      <c r="E361" s="147">
        <v>0</v>
      </c>
      <c r="F361" s="147">
        <v>0</v>
      </c>
      <c r="G361" s="147">
        <v>0</v>
      </c>
      <c r="H361" s="316">
        <v>0</v>
      </c>
      <c r="I361" s="535">
        <f t="shared" si="10"/>
        <v>0</v>
      </c>
    </row>
    <row r="362" spans="1:10" ht="10.5" customHeight="1" x14ac:dyDescent="0.15">
      <c r="A362" s="35"/>
      <c r="B362" s="152" t="s">
        <v>120</v>
      </c>
      <c r="C362" s="115" t="s">
        <v>121</v>
      </c>
      <c r="D362" s="147">
        <v>0</v>
      </c>
      <c r="E362" s="147">
        <v>0</v>
      </c>
      <c r="F362" s="147">
        <v>0</v>
      </c>
      <c r="G362" s="147">
        <v>0</v>
      </c>
      <c r="H362" s="316">
        <v>0</v>
      </c>
      <c r="I362" s="535">
        <f t="shared" si="10"/>
        <v>0</v>
      </c>
    </row>
    <row r="363" spans="1:10" ht="10.5" customHeight="1" x14ac:dyDescent="0.15">
      <c r="A363" s="35"/>
      <c r="B363" s="152" t="s">
        <v>122</v>
      </c>
      <c r="C363" s="115" t="s">
        <v>123</v>
      </c>
      <c r="D363" s="147">
        <v>0</v>
      </c>
      <c r="E363" s="147">
        <v>0</v>
      </c>
      <c r="F363" s="147">
        <v>0</v>
      </c>
      <c r="G363" s="147">
        <v>0</v>
      </c>
      <c r="H363" s="316">
        <v>0</v>
      </c>
      <c r="I363" s="535">
        <f t="shared" si="10"/>
        <v>0</v>
      </c>
    </row>
    <row r="364" spans="1:10" ht="10.5" customHeight="1" x14ac:dyDescent="0.15">
      <c r="A364" s="35"/>
      <c r="B364" s="152" t="s">
        <v>1581</v>
      </c>
      <c r="C364" s="115" t="s">
        <v>124</v>
      </c>
      <c r="D364" s="147">
        <v>0</v>
      </c>
      <c r="E364" s="147">
        <v>0</v>
      </c>
      <c r="F364" s="147">
        <v>0</v>
      </c>
      <c r="G364" s="147">
        <v>0</v>
      </c>
      <c r="H364" s="316">
        <v>0</v>
      </c>
      <c r="I364" s="535">
        <f t="shared" si="10"/>
        <v>0</v>
      </c>
    </row>
    <row r="365" spans="1:10" ht="10.5" customHeight="1" x14ac:dyDescent="0.15">
      <c r="A365" s="35"/>
      <c r="B365" s="152" t="s">
        <v>1624</v>
      </c>
      <c r="C365" s="115" t="s">
        <v>840</v>
      </c>
      <c r="D365" s="147">
        <v>0</v>
      </c>
      <c r="E365" s="147">
        <v>0</v>
      </c>
      <c r="F365" s="147">
        <v>0</v>
      </c>
      <c r="G365" s="147">
        <v>0</v>
      </c>
      <c r="H365" s="316">
        <v>0</v>
      </c>
      <c r="I365" s="535">
        <f t="shared" si="10"/>
        <v>0</v>
      </c>
    </row>
    <row r="366" spans="1:10" ht="10.5" customHeight="1" x14ac:dyDescent="0.15">
      <c r="A366" s="35"/>
      <c r="B366" s="152" t="s">
        <v>1625</v>
      </c>
      <c r="C366" s="115" t="s">
        <v>842</v>
      </c>
      <c r="D366" s="147">
        <v>0</v>
      </c>
      <c r="E366" s="147">
        <v>0</v>
      </c>
      <c r="F366" s="147">
        <v>0</v>
      </c>
      <c r="G366" s="147">
        <v>0</v>
      </c>
      <c r="H366" s="316">
        <v>0</v>
      </c>
      <c r="I366" s="535">
        <f t="shared" si="10"/>
        <v>0</v>
      </c>
    </row>
    <row r="367" spans="1:10" ht="10.5" customHeight="1" x14ac:dyDescent="0.15">
      <c r="A367" s="35"/>
      <c r="B367" s="152" t="s">
        <v>843</v>
      </c>
      <c r="C367" s="115" t="s">
        <v>848</v>
      </c>
      <c r="D367" s="147">
        <v>0</v>
      </c>
      <c r="E367" s="147">
        <v>0</v>
      </c>
      <c r="F367" s="147">
        <v>0</v>
      </c>
      <c r="G367" s="147">
        <v>0</v>
      </c>
      <c r="H367" s="316">
        <v>0</v>
      </c>
      <c r="I367" s="535">
        <f t="shared" si="10"/>
        <v>0</v>
      </c>
    </row>
    <row r="368" spans="1:10" ht="10.5" customHeight="1" x14ac:dyDescent="0.15">
      <c r="A368" s="35"/>
      <c r="B368" s="152" t="s">
        <v>844</v>
      </c>
      <c r="C368" s="115" t="s">
        <v>186</v>
      </c>
      <c r="D368" s="147">
        <v>0</v>
      </c>
      <c r="E368" s="147">
        <v>0</v>
      </c>
      <c r="F368" s="147">
        <v>0</v>
      </c>
      <c r="G368" s="147">
        <v>0</v>
      </c>
      <c r="H368" s="316">
        <v>0</v>
      </c>
      <c r="I368" s="535">
        <f t="shared" si="10"/>
        <v>0</v>
      </c>
    </row>
    <row r="369" spans="1:9" ht="10.5" customHeight="1" x14ac:dyDescent="0.15">
      <c r="A369" s="35"/>
      <c r="B369" s="152" t="s">
        <v>845</v>
      </c>
      <c r="C369" s="115" t="s">
        <v>154</v>
      </c>
      <c r="D369" s="147">
        <v>0</v>
      </c>
      <c r="E369" s="147">
        <v>0</v>
      </c>
      <c r="F369" s="147">
        <v>0</v>
      </c>
      <c r="G369" s="147">
        <v>0</v>
      </c>
      <c r="H369" s="316">
        <v>0</v>
      </c>
      <c r="I369" s="535">
        <f t="shared" si="10"/>
        <v>0</v>
      </c>
    </row>
    <row r="370" spans="1:9" ht="10.5" customHeight="1" x14ac:dyDescent="0.15">
      <c r="A370" s="35"/>
      <c r="B370" s="152" t="s">
        <v>846</v>
      </c>
      <c r="C370" s="115" t="s">
        <v>155</v>
      </c>
      <c r="D370" s="147">
        <v>0</v>
      </c>
      <c r="E370" s="147">
        <v>0</v>
      </c>
      <c r="F370" s="147">
        <v>0</v>
      </c>
      <c r="G370" s="147">
        <v>0</v>
      </c>
      <c r="H370" s="316">
        <v>0</v>
      </c>
      <c r="I370" s="535">
        <f t="shared" si="10"/>
        <v>0</v>
      </c>
    </row>
    <row r="371" spans="1:9" ht="10.5" customHeight="1" x14ac:dyDescent="0.15">
      <c r="A371" s="35"/>
      <c r="B371" s="152" t="s">
        <v>1582</v>
      </c>
      <c r="C371" s="115" t="s">
        <v>156</v>
      </c>
      <c r="D371" s="147">
        <v>0</v>
      </c>
      <c r="E371" s="147">
        <v>0</v>
      </c>
      <c r="F371" s="147">
        <v>0</v>
      </c>
      <c r="G371" s="147">
        <v>0</v>
      </c>
      <c r="H371" s="316">
        <v>0</v>
      </c>
      <c r="I371" s="535">
        <f t="shared" si="10"/>
        <v>0</v>
      </c>
    </row>
    <row r="372" spans="1:9" ht="10.5" customHeight="1" x14ac:dyDescent="0.15">
      <c r="A372" s="35"/>
      <c r="B372" s="152" t="s">
        <v>665</v>
      </c>
      <c r="C372" s="115" t="s">
        <v>1362</v>
      </c>
      <c r="D372" s="147">
        <v>0</v>
      </c>
      <c r="E372" s="147">
        <v>0</v>
      </c>
      <c r="F372" s="147">
        <v>0</v>
      </c>
      <c r="G372" s="147">
        <v>0</v>
      </c>
      <c r="H372" s="316">
        <v>0</v>
      </c>
      <c r="I372" s="535">
        <f t="shared" si="10"/>
        <v>0</v>
      </c>
    </row>
    <row r="373" spans="1:9" ht="10.5" customHeight="1" x14ac:dyDescent="0.15">
      <c r="A373" s="35"/>
      <c r="B373" s="152" t="s">
        <v>847</v>
      </c>
      <c r="C373" s="115" t="s">
        <v>157</v>
      </c>
      <c r="D373" s="147">
        <v>0</v>
      </c>
      <c r="E373" s="147">
        <v>0</v>
      </c>
      <c r="F373" s="147">
        <v>0</v>
      </c>
      <c r="G373" s="147">
        <v>0</v>
      </c>
      <c r="H373" s="316">
        <v>0</v>
      </c>
      <c r="I373" s="535">
        <f t="shared" si="10"/>
        <v>0</v>
      </c>
    </row>
    <row r="374" spans="1:9" ht="10.5" customHeight="1" x14ac:dyDescent="0.15">
      <c r="A374" s="35"/>
      <c r="B374" s="152" t="s">
        <v>1583</v>
      </c>
      <c r="C374" s="115" t="s">
        <v>160</v>
      </c>
      <c r="D374" s="147">
        <v>0</v>
      </c>
      <c r="E374" s="147">
        <v>0</v>
      </c>
      <c r="F374" s="147">
        <v>0</v>
      </c>
      <c r="G374" s="147">
        <v>0</v>
      </c>
      <c r="H374" s="316">
        <v>0</v>
      </c>
      <c r="I374" s="535">
        <f t="shared" si="10"/>
        <v>0</v>
      </c>
    </row>
    <row r="375" spans="1:9" ht="10.5" customHeight="1" x14ac:dyDescent="0.15">
      <c r="A375" s="35"/>
      <c r="B375" s="152" t="s">
        <v>634</v>
      </c>
      <c r="C375" s="115" t="s">
        <v>165</v>
      </c>
      <c r="D375" s="147">
        <v>0</v>
      </c>
      <c r="E375" s="147">
        <v>0</v>
      </c>
      <c r="F375" s="147">
        <v>0</v>
      </c>
      <c r="G375" s="147">
        <v>0</v>
      </c>
      <c r="H375" s="316">
        <v>0</v>
      </c>
      <c r="I375" s="535">
        <f t="shared" si="10"/>
        <v>0</v>
      </c>
    </row>
    <row r="376" spans="1:9" ht="10.5" customHeight="1" x14ac:dyDescent="0.15">
      <c r="A376" s="35"/>
      <c r="B376" s="152" t="s">
        <v>630</v>
      </c>
      <c r="C376" s="115" t="s">
        <v>172</v>
      </c>
      <c r="D376" s="147">
        <v>0</v>
      </c>
      <c r="E376" s="147">
        <v>0</v>
      </c>
      <c r="F376" s="147">
        <v>0</v>
      </c>
      <c r="G376" s="147">
        <v>0</v>
      </c>
      <c r="H376" s="316">
        <v>0</v>
      </c>
      <c r="I376" s="535">
        <f t="shared" si="10"/>
        <v>0</v>
      </c>
    </row>
    <row r="377" spans="1:9" ht="10.5" customHeight="1" x14ac:dyDescent="0.15">
      <c r="A377" s="35"/>
      <c r="B377" s="652" t="s">
        <v>631</v>
      </c>
      <c r="C377" s="653" t="s">
        <v>173</v>
      </c>
      <c r="D377" s="147">
        <v>0</v>
      </c>
      <c r="E377" s="147">
        <v>0</v>
      </c>
      <c r="F377" s="147">
        <v>0</v>
      </c>
      <c r="G377" s="147">
        <v>0</v>
      </c>
      <c r="H377" s="316">
        <v>0</v>
      </c>
      <c r="I377" s="535">
        <f t="shared" si="10"/>
        <v>0</v>
      </c>
    </row>
    <row r="378" spans="1:9" ht="10.5" customHeight="1" x14ac:dyDescent="0.15">
      <c r="A378" s="35"/>
      <c r="B378" s="152" t="s">
        <v>1584</v>
      </c>
      <c r="C378" s="115" t="s">
        <v>178</v>
      </c>
      <c r="D378" s="147">
        <v>0</v>
      </c>
      <c r="E378" s="147">
        <v>0</v>
      </c>
      <c r="F378" s="147">
        <v>0</v>
      </c>
      <c r="G378" s="147">
        <v>0</v>
      </c>
      <c r="H378" s="316">
        <v>0</v>
      </c>
      <c r="I378" s="535">
        <f t="shared" si="10"/>
        <v>0</v>
      </c>
    </row>
    <row r="379" spans="1:9" ht="10.5" customHeight="1" x14ac:dyDescent="0.15">
      <c r="A379" s="35"/>
      <c r="B379" s="152" t="s">
        <v>174</v>
      </c>
      <c r="C379" s="115" t="s">
        <v>179</v>
      </c>
      <c r="D379" s="147">
        <v>0</v>
      </c>
      <c r="E379" s="147">
        <v>0</v>
      </c>
      <c r="F379" s="147">
        <v>0</v>
      </c>
      <c r="G379" s="147">
        <v>0</v>
      </c>
      <c r="H379" s="316">
        <v>0</v>
      </c>
      <c r="I379" s="535">
        <f t="shared" si="10"/>
        <v>0</v>
      </c>
    </row>
    <row r="380" spans="1:9" ht="10.5" customHeight="1" x14ac:dyDescent="0.15">
      <c r="A380" s="35"/>
      <c r="B380" s="152" t="s">
        <v>175</v>
      </c>
      <c r="C380" s="115" t="s">
        <v>180</v>
      </c>
      <c r="D380" s="147">
        <v>0</v>
      </c>
      <c r="E380" s="147">
        <v>0</v>
      </c>
      <c r="F380" s="147">
        <v>0</v>
      </c>
      <c r="G380" s="147">
        <v>0</v>
      </c>
      <c r="H380" s="316">
        <v>0</v>
      </c>
      <c r="I380" s="535">
        <f t="shared" si="10"/>
        <v>0</v>
      </c>
    </row>
    <row r="381" spans="1:9" ht="10.5" customHeight="1" x14ac:dyDescent="0.15">
      <c r="A381" s="35"/>
      <c r="B381" s="152" t="s">
        <v>176</v>
      </c>
      <c r="C381" s="115" t="s">
        <v>181</v>
      </c>
      <c r="D381" s="147">
        <v>0</v>
      </c>
      <c r="E381" s="147">
        <v>0</v>
      </c>
      <c r="F381" s="147">
        <v>0</v>
      </c>
      <c r="G381" s="147">
        <v>0</v>
      </c>
      <c r="H381" s="316">
        <v>0</v>
      </c>
      <c r="I381" s="535">
        <f t="shared" si="10"/>
        <v>0</v>
      </c>
    </row>
    <row r="382" spans="1:9" ht="10.5" customHeight="1" x14ac:dyDescent="0.15">
      <c r="A382" s="35"/>
      <c r="B382" s="152" t="s">
        <v>177</v>
      </c>
      <c r="C382" s="115" t="s">
        <v>182</v>
      </c>
      <c r="D382" s="147">
        <v>0</v>
      </c>
      <c r="E382" s="147">
        <v>0</v>
      </c>
      <c r="F382" s="147">
        <v>0</v>
      </c>
      <c r="G382" s="147">
        <v>0</v>
      </c>
      <c r="H382" s="316">
        <v>0</v>
      </c>
      <c r="I382" s="535">
        <f t="shared" si="10"/>
        <v>0</v>
      </c>
    </row>
    <row r="383" spans="1:9" ht="10.5" customHeight="1" thickBot="1" x14ac:dyDescent="0.2">
      <c r="A383" s="35"/>
      <c r="B383" s="152" t="s">
        <v>632</v>
      </c>
      <c r="C383" s="115" t="s">
        <v>183</v>
      </c>
      <c r="D383" s="144">
        <v>0</v>
      </c>
      <c r="E383" s="144">
        <v>0</v>
      </c>
      <c r="F383" s="144">
        <v>0</v>
      </c>
      <c r="G383" s="291">
        <v>0</v>
      </c>
      <c r="H383" s="317">
        <v>0</v>
      </c>
      <c r="I383" s="573">
        <f>SUM(G383+H383)</f>
        <v>0</v>
      </c>
    </row>
    <row r="384" spans="1:9" ht="10.5" customHeight="1" thickTop="1" thickBot="1" x14ac:dyDescent="0.2">
      <c r="A384" s="35"/>
      <c r="B384" s="152"/>
      <c r="C384" s="115" t="s">
        <v>666</v>
      </c>
      <c r="D384" s="169">
        <f>SUM(D356:D383)</f>
        <v>0</v>
      </c>
      <c r="E384" s="169">
        <f>SUM(E356:E383)</f>
        <v>0</v>
      </c>
      <c r="F384" s="169">
        <f>SUM(F356:F383)</f>
        <v>0</v>
      </c>
      <c r="G384" s="169">
        <f>SUM(G356:G383)</f>
        <v>0</v>
      </c>
      <c r="H384" s="169">
        <f>SUM(H356:H383)</f>
        <v>0</v>
      </c>
      <c r="I384" s="304">
        <f>G384+H384</f>
        <v>0</v>
      </c>
    </row>
    <row r="385" spans="1:10" ht="10.5" customHeight="1" thickTop="1" x14ac:dyDescent="0.15">
      <c r="A385" s="35"/>
      <c r="B385" s="152"/>
      <c r="C385" s="115"/>
      <c r="D385" s="14"/>
      <c r="E385" s="14"/>
      <c r="F385" s="14"/>
      <c r="G385" s="14"/>
      <c r="H385" s="305"/>
      <c r="I385" s="305"/>
    </row>
    <row r="386" spans="1:10" ht="10.5" customHeight="1" x14ac:dyDescent="0.15">
      <c r="A386" s="35" t="s">
        <v>266</v>
      </c>
      <c r="C386" s="115"/>
      <c r="D386" s="14"/>
      <c r="E386" s="14"/>
      <c r="F386" s="14"/>
      <c r="G386" s="14"/>
      <c r="H386" s="305"/>
      <c r="I386" s="305"/>
    </row>
    <row r="387" spans="1:10" s="309" customFormat="1" x14ac:dyDescent="0.15">
      <c r="B387" s="311" t="s">
        <v>1577</v>
      </c>
      <c r="C387" s="312" t="s">
        <v>228</v>
      </c>
      <c r="D387" s="316">
        <v>0</v>
      </c>
      <c r="E387" s="316">
        <v>0</v>
      </c>
      <c r="F387" s="316">
        <v>0</v>
      </c>
      <c r="G387" s="528">
        <f t="array" ref="G387">SUM(IF(CertFund&amp;CertProg&amp;CertObj=RIGHT(LEFT($A$2,7),2)&amp;LEFT(A386,4)&amp;B387,CertSalary))</f>
        <v>0</v>
      </c>
      <c r="H387" s="527">
        <v>0</v>
      </c>
      <c r="I387" s="566">
        <f>SUM(G387+H387)</f>
        <v>0</v>
      </c>
    </row>
    <row r="388" spans="1:10" s="309" customFormat="1" x14ac:dyDescent="0.15">
      <c r="B388" s="311" t="s">
        <v>1577</v>
      </c>
      <c r="C388" s="312" t="s">
        <v>510</v>
      </c>
      <c r="D388" s="316">
        <v>0</v>
      </c>
      <c r="E388" s="316">
        <v>0</v>
      </c>
      <c r="F388" s="316">
        <v>0</v>
      </c>
      <c r="G388" s="316">
        <v>0</v>
      </c>
      <c r="H388" s="527">
        <v>0</v>
      </c>
      <c r="I388" s="566">
        <f>SUM(G388+H388)</f>
        <v>0</v>
      </c>
    </row>
    <row r="389" spans="1:10" s="309" customFormat="1" x14ac:dyDescent="0.15">
      <c r="A389" s="312"/>
      <c r="B389" s="311" t="s">
        <v>1578</v>
      </c>
      <c r="C389" s="312" t="s">
        <v>936</v>
      </c>
      <c r="D389" s="316">
        <v>0</v>
      </c>
      <c r="E389" s="316">
        <v>0</v>
      </c>
      <c r="F389" s="316">
        <v>0</v>
      </c>
      <c r="G389" s="529">
        <f t="array" ref="G389">SUM(IF(CertFund&amp;CertProg&amp;CertObj=RIGHT(LEFT($A$2,7),2)&amp;LEFT(A386,4)&amp;B387,CertBen))</f>
        <v>0</v>
      </c>
      <c r="H389" s="527">
        <v>0</v>
      </c>
      <c r="I389" s="566">
        <f>SUM(G389+H389)</f>
        <v>0</v>
      </c>
    </row>
    <row r="390" spans="1:10" x14ac:dyDescent="0.15">
      <c r="A390" s="115"/>
      <c r="B390" s="152" t="s">
        <v>1578</v>
      </c>
      <c r="C390" s="115" t="s">
        <v>511</v>
      </c>
      <c r="D390" s="147">
        <v>0</v>
      </c>
      <c r="E390" s="147">
        <v>0</v>
      </c>
      <c r="F390" s="147">
        <v>0</v>
      </c>
      <c r="G390" s="147">
        <v>0</v>
      </c>
      <c r="H390" s="150">
        <v>0</v>
      </c>
      <c r="I390" s="567">
        <f>SUM(G390+H390)</f>
        <v>0</v>
      </c>
      <c r="J390" s="309"/>
    </row>
    <row r="391" spans="1:10" ht="10.5" customHeight="1" x14ac:dyDescent="0.15">
      <c r="A391" s="35"/>
      <c r="B391" s="152" t="s">
        <v>1579</v>
      </c>
      <c r="C391" s="115" t="s">
        <v>118</v>
      </c>
      <c r="D391" s="147">
        <v>0</v>
      </c>
      <c r="E391" s="147">
        <v>0</v>
      </c>
      <c r="F391" s="147">
        <v>0</v>
      </c>
      <c r="G391" s="147">
        <v>0</v>
      </c>
      <c r="H391" s="315">
        <v>0</v>
      </c>
      <c r="I391" s="572">
        <f t="shared" ref="I391:I406" si="11">SUM(G391+H391)</f>
        <v>0</v>
      </c>
    </row>
    <row r="392" spans="1:10" ht="10.5" customHeight="1" x14ac:dyDescent="0.15">
      <c r="A392" s="35"/>
      <c r="B392" s="152" t="s">
        <v>1580</v>
      </c>
      <c r="C392" s="115" t="s">
        <v>119</v>
      </c>
      <c r="D392" s="147">
        <v>0</v>
      </c>
      <c r="E392" s="147">
        <v>0</v>
      </c>
      <c r="F392" s="147">
        <v>0</v>
      </c>
      <c r="G392" s="147">
        <v>0</v>
      </c>
      <c r="H392" s="315">
        <v>0</v>
      </c>
      <c r="I392" s="572">
        <f t="shared" si="11"/>
        <v>0</v>
      </c>
    </row>
    <row r="393" spans="1:10" ht="10.5" customHeight="1" x14ac:dyDescent="0.15">
      <c r="A393" s="35"/>
      <c r="B393" s="152" t="s">
        <v>120</v>
      </c>
      <c r="C393" s="115" t="s">
        <v>121</v>
      </c>
      <c r="D393" s="147">
        <v>0</v>
      </c>
      <c r="E393" s="147">
        <v>0</v>
      </c>
      <c r="F393" s="147">
        <v>0</v>
      </c>
      <c r="G393" s="147">
        <v>0</v>
      </c>
      <c r="H393" s="315">
        <v>0</v>
      </c>
      <c r="I393" s="572">
        <f t="shared" si="11"/>
        <v>0</v>
      </c>
    </row>
    <row r="394" spans="1:10" ht="10.5" customHeight="1" x14ac:dyDescent="0.15">
      <c r="A394" s="35"/>
      <c r="B394" s="152" t="s">
        <v>122</v>
      </c>
      <c r="C394" s="115" t="s">
        <v>123</v>
      </c>
      <c r="D394" s="147">
        <v>0</v>
      </c>
      <c r="E394" s="147">
        <v>0</v>
      </c>
      <c r="F394" s="147">
        <v>0</v>
      </c>
      <c r="G394" s="147">
        <v>0</v>
      </c>
      <c r="H394" s="315">
        <v>0</v>
      </c>
      <c r="I394" s="572">
        <f t="shared" si="11"/>
        <v>0</v>
      </c>
    </row>
    <row r="395" spans="1:10" ht="10.5" customHeight="1" x14ac:dyDescent="0.15">
      <c r="A395" s="35"/>
      <c r="B395" s="152" t="s">
        <v>1581</v>
      </c>
      <c r="C395" s="115" t="s">
        <v>124</v>
      </c>
      <c r="D395" s="147">
        <v>0</v>
      </c>
      <c r="E395" s="147">
        <v>0</v>
      </c>
      <c r="F395" s="147">
        <v>0</v>
      </c>
      <c r="G395" s="147">
        <v>0</v>
      </c>
      <c r="H395" s="315">
        <v>0</v>
      </c>
      <c r="I395" s="572">
        <f t="shared" si="11"/>
        <v>0</v>
      </c>
    </row>
    <row r="396" spans="1:10" ht="10.5" customHeight="1" x14ac:dyDescent="0.15">
      <c r="A396" s="35"/>
      <c r="B396" s="152" t="s">
        <v>1625</v>
      </c>
      <c r="C396" s="115" t="s">
        <v>842</v>
      </c>
      <c r="D396" s="147">
        <v>0</v>
      </c>
      <c r="E396" s="147">
        <v>0</v>
      </c>
      <c r="F396" s="147">
        <v>0</v>
      </c>
      <c r="G396" s="147">
        <v>0</v>
      </c>
      <c r="H396" s="315">
        <v>0</v>
      </c>
      <c r="I396" s="572">
        <f t="shared" si="11"/>
        <v>0</v>
      </c>
    </row>
    <row r="397" spans="1:10" ht="10.5" customHeight="1" x14ac:dyDescent="0.15">
      <c r="A397" s="35"/>
      <c r="B397" s="152" t="s">
        <v>1582</v>
      </c>
      <c r="C397" s="115" t="s">
        <v>156</v>
      </c>
      <c r="D397" s="147">
        <v>0</v>
      </c>
      <c r="E397" s="147">
        <v>0</v>
      </c>
      <c r="F397" s="147">
        <v>0</v>
      </c>
      <c r="G397" s="147">
        <v>0</v>
      </c>
      <c r="H397" s="315">
        <v>0</v>
      </c>
      <c r="I397" s="572">
        <f t="shared" si="11"/>
        <v>0</v>
      </c>
    </row>
    <row r="398" spans="1:10" ht="10.5" customHeight="1" x14ac:dyDescent="0.15">
      <c r="A398" s="35"/>
      <c r="B398" s="152" t="s">
        <v>847</v>
      </c>
      <c r="C398" s="115" t="s">
        <v>157</v>
      </c>
      <c r="D398" s="147">
        <v>0</v>
      </c>
      <c r="E398" s="147">
        <v>0</v>
      </c>
      <c r="F398" s="147">
        <v>0</v>
      </c>
      <c r="G398" s="147">
        <v>0</v>
      </c>
      <c r="H398" s="315">
        <v>0</v>
      </c>
      <c r="I398" s="572">
        <f t="shared" si="11"/>
        <v>0</v>
      </c>
    </row>
    <row r="399" spans="1:10" ht="10.5" customHeight="1" x14ac:dyDescent="0.15">
      <c r="A399" s="35"/>
      <c r="B399" s="152" t="s">
        <v>1583</v>
      </c>
      <c r="C399" s="115" t="s">
        <v>160</v>
      </c>
      <c r="D399" s="147">
        <v>0</v>
      </c>
      <c r="E399" s="147">
        <v>0</v>
      </c>
      <c r="F399" s="147">
        <v>0</v>
      </c>
      <c r="G399" s="147">
        <v>0</v>
      </c>
      <c r="H399" s="315">
        <v>0</v>
      </c>
      <c r="I399" s="572">
        <f t="shared" si="11"/>
        <v>0</v>
      </c>
    </row>
    <row r="400" spans="1:10" ht="10.5" customHeight="1" x14ac:dyDescent="0.15">
      <c r="A400" s="35"/>
      <c r="B400" s="152" t="s">
        <v>634</v>
      </c>
      <c r="C400" s="115" t="s">
        <v>165</v>
      </c>
      <c r="D400" s="147">
        <v>0</v>
      </c>
      <c r="E400" s="147">
        <v>0</v>
      </c>
      <c r="F400" s="147">
        <v>0</v>
      </c>
      <c r="G400" s="147">
        <v>0</v>
      </c>
      <c r="H400" s="315">
        <v>0</v>
      </c>
      <c r="I400" s="572">
        <f t="shared" si="11"/>
        <v>0</v>
      </c>
    </row>
    <row r="401" spans="1:10" ht="10.5" customHeight="1" x14ac:dyDescent="0.15">
      <c r="A401" s="35"/>
      <c r="B401" s="152" t="s">
        <v>630</v>
      </c>
      <c r="C401" s="115" t="s">
        <v>172</v>
      </c>
      <c r="D401" s="147">
        <v>0</v>
      </c>
      <c r="E401" s="147">
        <v>0</v>
      </c>
      <c r="F401" s="147">
        <v>0</v>
      </c>
      <c r="G401" s="147">
        <v>0</v>
      </c>
      <c r="H401" s="315">
        <v>0</v>
      </c>
      <c r="I401" s="572">
        <f t="shared" si="11"/>
        <v>0</v>
      </c>
    </row>
    <row r="402" spans="1:10" ht="10.5" customHeight="1" x14ac:dyDescent="0.15">
      <c r="A402" s="35"/>
      <c r="B402" s="652" t="s">
        <v>631</v>
      </c>
      <c r="C402" s="653" t="s">
        <v>173</v>
      </c>
      <c r="D402" s="147">
        <v>0</v>
      </c>
      <c r="E402" s="147">
        <v>0</v>
      </c>
      <c r="F402" s="147">
        <v>0</v>
      </c>
      <c r="G402" s="147">
        <v>0</v>
      </c>
      <c r="H402" s="315">
        <v>0</v>
      </c>
      <c r="I402" s="572">
        <f t="shared" si="11"/>
        <v>0</v>
      </c>
    </row>
    <row r="403" spans="1:10" ht="10.5" customHeight="1" x14ac:dyDescent="0.15">
      <c r="A403" s="35"/>
      <c r="B403" s="152" t="s">
        <v>1584</v>
      </c>
      <c r="C403" s="115" t="s">
        <v>178</v>
      </c>
      <c r="D403" s="147">
        <v>0</v>
      </c>
      <c r="E403" s="147">
        <v>0</v>
      </c>
      <c r="F403" s="147">
        <v>0</v>
      </c>
      <c r="G403" s="147">
        <v>0</v>
      </c>
      <c r="H403" s="315">
        <v>0</v>
      </c>
      <c r="I403" s="572">
        <f t="shared" si="11"/>
        <v>0</v>
      </c>
    </row>
    <row r="404" spans="1:10" ht="10.5" customHeight="1" x14ac:dyDescent="0.15">
      <c r="A404" s="35"/>
      <c r="B404" s="152" t="s">
        <v>174</v>
      </c>
      <c r="C404" s="115" t="s">
        <v>179</v>
      </c>
      <c r="D404" s="147">
        <v>0</v>
      </c>
      <c r="E404" s="147">
        <v>0</v>
      </c>
      <c r="F404" s="147">
        <v>0</v>
      </c>
      <c r="G404" s="147">
        <v>0</v>
      </c>
      <c r="H404" s="315">
        <v>0</v>
      </c>
      <c r="I404" s="572">
        <f t="shared" si="11"/>
        <v>0</v>
      </c>
    </row>
    <row r="405" spans="1:10" ht="10.5" customHeight="1" x14ac:dyDescent="0.15">
      <c r="A405" s="35"/>
      <c r="B405" s="152" t="s">
        <v>175</v>
      </c>
      <c r="C405" s="115" t="s">
        <v>180</v>
      </c>
      <c r="D405" s="147">
        <v>0</v>
      </c>
      <c r="E405" s="147">
        <v>0</v>
      </c>
      <c r="F405" s="147">
        <v>0</v>
      </c>
      <c r="G405" s="147">
        <v>0</v>
      </c>
      <c r="H405" s="315">
        <v>0</v>
      </c>
      <c r="I405" s="572">
        <f t="shared" si="11"/>
        <v>0</v>
      </c>
    </row>
    <row r="406" spans="1:10" ht="10.5" customHeight="1" thickBot="1" x14ac:dyDescent="0.2">
      <c r="A406" s="35"/>
      <c r="B406" s="152" t="s">
        <v>176</v>
      </c>
      <c r="C406" s="115" t="s">
        <v>181</v>
      </c>
      <c r="D406" s="147">
        <v>0</v>
      </c>
      <c r="E406" s="147">
        <v>0</v>
      </c>
      <c r="F406" s="147">
        <v>0</v>
      </c>
      <c r="G406" s="147">
        <v>0</v>
      </c>
      <c r="H406" s="315">
        <v>0</v>
      </c>
      <c r="I406" s="572">
        <f t="shared" si="11"/>
        <v>0</v>
      </c>
    </row>
    <row r="407" spans="1:10" ht="10.5" customHeight="1" thickTop="1" thickBot="1" x14ac:dyDescent="0.2">
      <c r="A407" s="35"/>
      <c r="B407" s="152"/>
      <c r="C407" s="115" t="s">
        <v>330</v>
      </c>
      <c r="D407" s="169">
        <f>SUM(D387:D406)</f>
        <v>0</v>
      </c>
      <c r="E407" s="169">
        <f>SUM(E387:E406)</f>
        <v>0</v>
      </c>
      <c r="F407" s="169">
        <f>SUM(F387:F406)</f>
        <v>0</v>
      </c>
      <c r="G407" s="169">
        <f>SUM(G387:G406)</f>
        <v>0</v>
      </c>
      <c r="H407" s="169">
        <f>SUM(H387:H406)</f>
        <v>0</v>
      </c>
      <c r="I407" s="304">
        <f>G407+H407</f>
        <v>0</v>
      </c>
    </row>
    <row r="408" spans="1:10" ht="10.5" customHeight="1" thickTop="1" x14ac:dyDescent="0.15">
      <c r="A408" s="35"/>
      <c r="B408" s="152"/>
      <c r="C408" s="115"/>
      <c r="D408" s="14"/>
      <c r="E408" s="14"/>
      <c r="F408" s="14"/>
      <c r="G408" s="14"/>
      <c r="H408" s="305"/>
      <c r="I408" s="305"/>
    </row>
    <row r="409" spans="1:10" ht="10.5" customHeight="1" x14ac:dyDescent="0.15">
      <c r="A409" s="35" t="s">
        <v>265</v>
      </c>
      <c r="C409" s="115"/>
      <c r="D409" s="14"/>
      <c r="E409" s="14"/>
      <c r="F409" s="14"/>
      <c r="G409" s="14"/>
      <c r="H409" s="305"/>
      <c r="I409" s="305"/>
    </row>
    <row r="410" spans="1:10" s="309" customFormat="1" x14ac:dyDescent="0.15">
      <c r="B410" s="311" t="s">
        <v>1577</v>
      </c>
      <c r="C410" s="312" t="s">
        <v>228</v>
      </c>
      <c r="D410" s="316">
        <v>0</v>
      </c>
      <c r="E410" s="316">
        <v>0</v>
      </c>
      <c r="F410" s="316">
        <v>0</v>
      </c>
      <c r="G410" s="528">
        <f t="array" ref="G410">SUM(IF(CertFund&amp;CertProg&amp;CertObj=RIGHT(LEFT($A$2,7),2)&amp;LEFT(A409,4)&amp;B410,CertSalary))</f>
        <v>0</v>
      </c>
      <c r="H410" s="527">
        <v>0</v>
      </c>
      <c r="I410" s="566">
        <f>SUM(G410+H410)</f>
        <v>0</v>
      </c>
    </row>
    <row r="411" spans="1:10" s="309" customFormat="1" x14ac:dyDescent="0.15">
      <c r="B411" s="311" t="s">
        <v>1577</v>
      </c>
      <c r="C411" s="312" t="s">
        <v>510</v>
      </c>
      <c r="D411" s="316">
        <v>0</v>
      </c>
      <c r="E411" s="316">
        <v>0</v>
      </c>
      <c r="F411" s="316">
        <v>0</v>
      </c>
      <c r="G411" s="316">
        <v>0</v>
      </c>
      <c r="H411" s="527">
        <v>0</v>
      </c>
      <c r="I411" s="566">
        <f>SUM(G411+H411)</f>
        <v>0</v>
      </c>
    </row>
    <row r="412" spans="1:10" s="309" customFormat="1" x14ac:dyDescent="0.15">
      <c r="A412" s="312"/>
      <c r="B412" s="311" t="s">
        <v>1578</v>
      </c>
      <c r="C412" s="312" t="s">
        <v>936</v>
      </c>
      <c r="D412" s="316">
        <v>0</v>
      </c>
      <c r="E412" s="316">
        <v>0</v>
      </c>
      <c r="F412" s="316">
        <v>0</v>
      </c>
      <c r="G412" s="529">
        <f t="array" ref="G412">SUM(IF(CertFund&amp;CertProg&amp;CertObj=RIGHT(LEFT($A$2,7),2)&amp;LEFT(A409,4)&amp;B410,CertBen))</f>
        <v>0</v>
      </c>
      <c r="H412" s="527">
        <v>0</v>
      </c>
      <c r="I412" s="566">
        <f>SUM(G412+H412)</f>
        <v>0</v>
      </c>
    </row>
    <row r="413" spans="1:10" x14ac:dyDescent="0.15">
      <c r="A413" s="115"/>
      <c r="B413" s="152" t="s">
        <v>1578</v>
      </c>
      <c r="C413" s="115" t="s">
        <v>511</v>
      </c>
      <c r="D413" s="147">
        <v>0</v>
      </c>
      <c r="E413" s="147">
        <v>0</v>
      </c>
      <c r="F413" s="147">
        <v>0</v>
      </c>
      <c r="G413" s="147">
        <v>0</v>
      </c>
      <c r="H413" s="150">
        <v>0</v>
      </c>
      <c r="I413" s="567">
        <f>SUM(G413+H413)</f>
        <v>0</v>
      </c>
      <c r="J413" s="309"/>
    </row>
    <row r="414" spans="1:10" ht="10.5" customHeight="1" x14ac:dyDescent="0.15">
      <c r="A414" s="35"/>
      <c r="B414" s="152" t="s">
        <v>1579</v>
      </c>
      <c r="C414" s="115" t="s">
        <v>118</v>
      </c>
      <c r="D414" s="147">
        <v>0</v>
      </c>
      <c r="E414" s="147">
        <v>0</v>
      </c>
      <c r="F414" s="147">
        <v>0</v>
      </c>
      <c r="G414" s="147">
        <v>0</v>
      </c>
      <c r="H414" s="315">
        <v>0</v>
      </c>
      <c r="I414" s="572">
        <f t="shared" ref="I414:I429" si="12">SUM(G414+H414)</f>
        <v>0</v>
      </c>
    </row>
    <row r="415" spans="1:10" ht="10.5" customHeight="1" x14ac:dyDescent="0.15">
      <c r="A415" s="35"/>
      <c r="B415" s="152" t="s">
        <v>1580</v>
      </c>
      <c r="C415" s="115" t="s">
        <v>119</v>
      </c>
      <c r="D415" s="147">
        <v>0</v>
      </c>
      <c r="E415" s="147">
        <v>0</v>
      </c>
      <c r="F415" s="147">
        <v>0</v>
      </c>
      <c r="G415" s="147">
        <v>0</v>
      </c>
      <c r="H415" s="315">
        <v>0</v>
      </c>
      <c r="I415" s="572">
        <f t="shared" si="12"/>
        <v>0</v>
      </c>
    </row>
    <row r="416" spans="1:10" ht="10.5" customHeight="1" x14ac:dyDescent="0.15">
      <c r="A416" s="35"/>
      <c r="B416" s="152" t="s">
        <v>120</v>
      </c>
      <c r="C416" s="115" t="s">
        <v>121</v>
      </c>
      <c r="D416" s="147">
        <v>0</v>
      </c>
      <c r="E416" s="147">
        <v>0</v>
      </c>
      <c r="F416" s="147">
        <v>0</v>
      </c>
      <c r="G416" s="147">
        <v>0</v>
      </c>
      <c r="H416" s="315">
        <v>0</v>
      </c>
      <c r="I416" s="572">
        <f t="shared" si="12"/>
        <v>0</v>
      </c>
    </row>
    <row r="417" spans="1:9" ht="10.5" customHeight="1" x14ac:dyDescent="0.15">
      <c r="A417" s="35"/>
      <c r="B417" s="152" t="s">
        <v>122</v>
      </c>
      <c r="C417" s="115" t="s">
        <v>123</v>
      </c>
      <c r="D417" s="147">
        <v>0</v>
      </c>
      <c r="E417" s="147">
        <v>0</v>
      </c>
      <c r="F417" s="147">
        <v>0</v>
      </c>
      <c r="G417" s="147">
        <v>0</v>
      </c>
      <c r="H417" s="315">
        <v>0</v>
      </c>
      <c r="I417" s="572">
        <f t="shared" si="12"/>
        <v>0</v>
      </c>
    </row>
    <row r="418" spans="1:9" ht="10.5" customHeight="1" x14ac:dyDescent="0.15">
      <c r="A418" s="35"/>
      <c r="B418" s="152" t="s">
        <v>1581</v>
      </c>
      <c r="C418" s="115" t="s">
        <v>124</v>
      </c>
      <c r="D418" s="147">
        <v>0</v>
      </c>
      <c r="E418" s="147">
        <v>0</v>
      </c>
      <c r="F418" s="147">
        <v>0</v>
      </c>
      <c r="G418" s="147">
        <v>0</v>
      </c>
      <c r="H418" s="315">
        <v>0</v>
      </c>
      <c r="I418" s="572">
        <f t="shared" si="12"/>
        <v>0</v>
      </c>
    </row>
    <row r="419" spans="1:9" ht="10.5" customHeight="1" x14ac:dyDescent="0.15">
      <c r="A419" s="35"/>
      <c r="B419" s="152" t="s">
        <v>1625</v>
      </c>
      <c r="C419" s="115" t="s">
        <v>842</v>
      </c>
      <c r="D419" s="147">
        <v>0</v>
      </c>
      <c r="E419" s="147">
        <v>0</v>
      </c>
      <c r="F419" s="147">
        <v>0</v>
      </c>
      <c r="G419" s="147">
        <v>0</v>
      </c>
      <c r="H419" s="315">
        <v>0</v>
      </c>
      <c r="I419" s="572">
        <f t="shared" si="12"/>
        <v>0</v>
      </c>
    </row>
    <row r="420" spans="1:9" ht="10.5" customHeight="1" x14ac:dyDescent="0.15">
      <c r="A420" s="35"/>
      <c r="B420" s="152" t="s">
        <v>1582</v>
      </c>
      <c r="C420" s="115" t="s">
        <v>156</v>
      </c>
      <c r="D420" s="147">
        <v>0</v>
      </c>
      <c r="E420" s="147">
        <v>0</v>
      </c>
      <c r="F420" s="147">
        <v>0</v>
      </c>
      <c r="G420" s="147">
        <v>0</v>
      </c>
      <c r="H420" s="315">
        <v>0</v>
      </c>
      <c r="I420" s="572">
        <f t="shared" si="12"/>
        <v>0</v>
      </c>
    </row>
    <row r="421" spans="1:9" ht="10.5" customHeight="1" x14ac:dyDescent="0.15">
      <c r="A421" s="35"/>
      <c r="B421" s="152" t="s">
        <v>847</v>
      </c>
      <c r="C421" s="115" t="s">
        <v>157</v>
      </c>
      <c r="D421" s="147">
        <v>0</v>
      </c>
      <c r="E421" s="147">
        <v>0</v>
      </c>
      <c r="F421" s="147">
        <v>0</v>
      </c>
      <c r="G421" s="147">
        <v>0</v>
      </c>
      <c r="H421" s="315">
        <v>0</v>
      </c>
      <c r="I421" s="572">
        <f t="shared" si="12"/>
        <v>0</v>
      </c>
    </row>
    <row r="422" spans="1:9" ht="10.5" customHeight="1" x14ac:dyDescent="0.15">
      <c r="A422" s="35"/>
      <c r="B422" s="152" t="s">
        <v>1583</v>
      </c>
      <c r="C422" s="115" t="s">
        <v>160</v>
      </c>
      <c r="D422" s="147">
        <v>0</v>
      </c>
      <c r="E422" s="147">
        <v>0</v>
      </c>
      <c r="F422" s="147">
        <v>0</v>
      </c>
      <c r="G422" s="147">
        <v>0</v>
      </c>
      <c r="H422" s="315">
        <v>0</v>
      </c>
      <c r="I422" s="572">
        <f t="shared" si="12"/>
        <v>0</v>
      </c>
    </row>
    <row r="423" spans="1:9" ht="10.5" customHeight="1" x14ac:dyDescent="0.15">
      <c r="A423" s="35"/>
      <c r="B423" s="152" t="s">
        <v>634</v>
      </c>
      <c r="C423" s="115" t="s">
        <v>165</v>
      </c>
      <c r="D423" s="147">
        <v>0</v>
      </c>
      <c r="E423" s="147">
        <v>0</v>
      </c>
      <c r="F423" s="147">
        <v>0</v>
      </c>
      <c r="G423" s="147">
        <v>0</v>
      </c>
      <c r="H423" s="315">
        <v>0</v>
      </c>
      <c r="I423" s="572">
        <f t="shared" si="12"/>
        <v>0</v>
      </c>
    </row>
    <row r="424" spans="1:9" ht="10.5" customHeight="1" x14ac:dyDescent="0.15">
      <c r="A424" s="35"/>
      <c r="B424" s="152" t="s">
        <v>630</v>
      </c>
      <c r="C424" s="115" t="s">
        <v>172</v>
      </c>
      <c r="D424" s="147">
        <v>0</v>
      </c>
      <c r="E424" s="147">
        <v>0</v>
      </c>
      <c r="F424" s="147">
        <v>0</v>
      </c>
      <c r="G424" s="147">
        <v>0</v>
      </c>
      <c r="H424" s="315">
        <v>0</v>
      </c>
      <c r="I424" s="572">
        <f t="shared" si="12"/>
        <v>0</v>
      </c>
    </row>
    <row r="425" spans="1:9" ht="10.5" customHeight="1" x14ac:dyDescent="0.15">
      <c r="A425" s="35"/>
      <c r="B425" s="652" t="s">
        <v>631</v>
      </c>
      <c r="C425" s="653" t="s">
        <v>173</v>
      </c>
      <c r="D425" s="147">
        <v>0</v>
      </c>
      <c r="E425" s="147">
        <v>0</v>
      </c>
      <c r="F425" s="147">
        <v>0</v>
      </c>
      <c r="G425" s="147">
        <v>0</v>
      </c>
      <c r="H425" s="315">
        <v>0</v>
      </c>
      <c r="I425" s="572">
        <f t="shared" si="12"/>
        <v>0</v>
      </c>
    </row>
    <row r="426" spans="1:9" ht="10.5" customHeight="1" x14ac:dyDescent="0.15">
      <c r="A426" s="35"/>
      <c r="B426" s="152" t="s">
        <v>1584</v>
      </c>
      <c r="C426" s="115" t="s">
        <v>178</v>
      </c>
      <c r="D426" s="147">
        <v>0</v>
      </c>
      <c r="E426" s="147">
        <v>0</v>
      </c>
      <c r="F426" s="147">
        <v>0</v>
      </c>
      <c r="G426" s="147">
        <v>0</v>
      </c>
      <c r="H426" s="315">
        <v>0</v>
      </c>
      <c r="I426" s="572">
        <f t="shared" si="12"/>
        <v>0</v>
      </c>
    </row>
    <row r="427" spans="1:9" ht="10.5" customHeight="1" x14ac:dyDescent="0.15">
      <c r="A427" s="35"/>
      <c r="B427" s="152" t="s">
        <v>174</v>
      </c>
      <c r="C427" s="115" t="s">
        <v>179</v>
      </c>
      <c r="D427" s="147">
        <v>0</v>
      </c>
      <c r="E427" s="147">
        <v>0</v>
      </c>
      <c r="F427" s="147">
        <v>0</v>
      </c>
      <c r="G427" s="147">
        <v>0</v>
      </c>
      <c r="H427" s="315">
        <v>0</v>
      </c>
      <c r="I427" s="572">
        <f t="shared" si="12"/>
        <v>0</v>
      </c>
    </row>
    <row r="428" spans="1:9" ht="10.5" customHeight="1" x14ac:dyDescent="0.15">
      <c r="A428" s="35"/>
      <c r="B428" s="152" t="s">
        <v>175</v>
      </c>
      <c r="C428" s="115" t="s">
        <v>180</v>
      </c>
      <c r="D428" s="147">
        <v>0</v>
      </c>
      <c r="E428" s="147">
        <v>0</v>
      </c>
      <c r="F428" s="147">
        <v>0</v>
      </c>
      <c r="G428" s="147">
        <v>0</v>
      </c>
      <c r="H428" s="315">
        <v>0</v>
      </c>
      <c r="I428" s="572">
        <f t="shared" si="12"/>
        <v>0</v>
      </c>
    </row>
    <row r="429" spans="1:9" ht="10.5" customHeight="1" thickBot="1" x14ac:dyDescent="0.2">
      <c r="A429" s="35"/>
      <c r="B429" s="152" t="s">
        <v>176</v>
      </c>
      <c r="C429" s="115" t="s">
        <v>181</v>
      </c>
      <c r="D429" s="147">
        <v>0</v>
      </c>
      <c r="E429" s="147">
        <v>0</v>
      </c>
      <c r="F429" s="147">
        <v>0</v>
      </c>
      <c r="G429" s="147">
        <v>0</v>
      </c>
      <c r="H429" s="315">
        <v>0</v>
      </c>
      <c r="I429" s="572">
        <f t="shared" si="12"/>
        <v>0</v>
      </c>
    </row>
    <row r="430" spans="1:9" ht="10.5" customHeight="1" thickTop="1" thickBot="1" x14ac:dyDescent="0.2">
      <c r="A430" s="35"/>
      <c r="B430" s="152"/>
      <c r="C430" s="115" t="s">
        <v>331</v>
      </c>
      <c r="D430" s="169">
        <f>SUM(D410:D429)</f>
        <v>0</v>
      </c>
      <c r="E430" s="169">
        <f>SUM(E410:E429)</f>
        <v>0</v>
      </c>
      <c r="F430" s="169">
        <f>SUM(F410:F429)</f>
        <v>0</v>
      </c>
      <c r="G430" s="169">
        <f>SUM(G410:G429)</f>
        <v>0</v>
      </c>
      <c r="H430" s="169">
        <f>SUM(H410:H429)</f>
        <v>0</v>
      </c>
      <c r="I430" s="304">
        <f>G430+H430</f>
        <v>0</v>
      </c>
    </row>
    <row r="431" spans="1:9" ht="10.5" customHeight="1" thickTop="1" x14ac:dyDescent="0.15">
      <c r="A431" s="35"/>
      <c r="B431" s="152"/>
      <c r="C431" s="115"/>
      <c r="D431" s="14"/>
      <c r="E431" s="14"/>
      <c r="F431" s="14"/>
      <c r="G431" s="14"/>
      <c r="H431" s="305"/>
      <c r="I431" s="305"/>
    </row>
    <row r="432" spans="1:9" ht="10.5" customHeight="1" x14ac:dyDescent="0.15">
      <c r="A432" s="35" t="s">
        <v>667</v>
      </c>
      <c r="C432" s="115"/>
      <c r="D432" s="14"/>
      <c r="E432" s="14"/>
      <c r="F432" s="14"/>
      <c r="G432" s="14"/>
      <c r="H432" s="305"/>
      <c r="I432" s="305"/>
    </row>
    <row r="433" spans="1:10" s="309" customFormat="1" x14ac:dyDescent="0.15">
      <c r="B433" s="311" t="s">
        <v>1577</v>
      </c>
      <c r="C433" s="312" t="s">
        <v>228</v>
      </c>
      <c r="D433" s="316">
        <v>0</v>
      </c>
      <c r="E433" s="316">
        <v>0</v>
      </c>
      <c r="F433" s="316">
        <v>0</v>
      </c>
      <c r="G433" s="528">
        <f t="array" ref="G433">SUM(IF(CertFund&amp;CertProg&amp;CertObj=RIGHT(LEFT($A$2,7),2)&amp;LEFT(A432,4)&amp;B433,CertSalary))</f>
        <v>0</v>
      </c>
      <c r="H433" s="527">
        <v>0</v>
      </c>
      <c r="I433" s="566">
        <f>SUM(G433+H433)</f>
        <v>0</v>
      </c>
    </row>
    <row r="434" spans="1:10" s="309" customFormat="1" x14ac:dyDescent="0.15">
      <c r="B434" s="311" t="s">
        <v>1577</v>
      </c>
      <c r="C434" s="312" t="s">
        <v>510</v>
      </c>
      <c r="D434" s="316">
        <v>0</v>
      </c>
      <c r="E434" s="316">
        <v>0</v>
      </c>
      <c r="F434" s="316">
        <v>0</v>
      </c>
      <c r="G434" s="316">
        <v>0</v>
      </c>
      <c r="H434" s="527">
        <v>0</v>
      </c>
      <c r="I434" s="566">
        <f>SUM(G434+H434)</f>
        <v>0</v>
      </c>
    </row>
    <row r="435" spans="1:10" s="309" customFormat="1" x14ac:dyDescent="0.15">
      <c r="A435" s="312"/>
      <c r="B435" s="311" t="s">
        <v>1578</v>
      </c>
      <c r="C435" s="312" t="s">
        <v>936</v>
      </c>
      <c r="D435" s="316">
        <v>0</v>
      </c>
      <c r="E435" s="316">
        <v>0</v>
      </c>
      <c r="F435" s="316">
        <v>0</v>
      </c>
      <c r="G435" s="529">
        <f t="array" ref="G435">SUM(IF(CertFund&amp;CertProg&amp;CertObj=RIGHT(LEFT($A$2,7),2)&amp;LEFT(A432,4)&amp;B433,CertBen))</f>
        <v>0</v>
      </c>
      <c r="H435" s="527">
        <v>0</v>
      </c>
      <c r="I435" s="566">
        <f>SUM(G435+H435)</f>
        <v>0</v>
      </c>
    </row>
    <row r="436" spans="1:10" x14ac:dyDescent="0.15">
      <c r="A436" s="115"/>
      <c r="B436" s="152" t="s">
        <v>1578</v>
      </c>
      <c r="C436" s="115" t="s">
        <v>511</v>
      </c>
      <c r="D436" s="147">
        <v>0</v>
      </c>
      <c r="E436" s="147">
        <v>0</v>
      </c>
      <c r="F436" s="147">
        <v>0</v>
      </c>
      <c r="G436" s="147">
        <v>0</v>
      </c>
      <c r="H436" s="150">
        <v>0</v>
      </c>
      <c r="I436" s="567">
        <f>SUM(G436+H436)</f>
        <v>0</v>
      </c>
      <c r="J436" s="309"/>
    </row>
    <row r="437" spans="1:10" ht="10.5" customHeight="1" x14ac:dyDescent="0.15">
      <c r="A437" s="35"/>
      <c r="B437" s="152" t="s">
        <v>1579</v>
      </c>
      <c r="C437" s="115" t="s">
        <v>118</v>
      </c>
      <c r="D437" s="147">
        <v>0</v>
      </c>
      <c r="E437" s="147">
        <v>0</v>
      </c>
      <c r="F437" s="147">
        <v>0</v>
      </c>
      <c r="G437" s="147">
        <v>0</v>
      </c>
      <c r="H437" s="315">
        <v>0</v>
      </c>
      <c r="I437" s="572">
        <f t="shared" ref="I437:I460" si="13">SUM(G437+H437)</f>
        <v>0</v>
      </c>
    </row>
    <row r="438" spans="1:10" ht="10.5" customHeight="1" x14ac:dyDescent="0.15">
      <c r="A438" s="35"/>
      <c r="B438" s="152" t="s">
        <v>1580</v>
      </c>
      <c r="C438" s="115" t="s">
        <v>119</v>
      </c>
      <c r="D438" s="147">
        <v>0</v>
      </c>
      <c r="E438" s="147">
        <v>0</v>
      </c>
      <c r="F438" s="147">
        <v>0</v>
      </c>
      <c r="G438" s="147">
        <v>0</v>
      </c>
      <c r="H438" s="315">
        <v>0</v>
      </c>
      <c r="I438" s="572">
        <f t="shared" si="13"/>
        <v>0</v>
      </c>
    </row>
    <row r="439" spans="1:10" ht="10.5" customHeight="1" x14ac:dyDescent="0.15">
      <c r="A439" s="35"/>
      <c r="B439" s="152" t="s">
        <v>120</v>
      </c>
      <c r="C439" s="115" t="s">
        <v>121</v>
      </c>
      <c r="D439" s="147">
        <v>0</v>
      </c>
      <c r="E439" s="147">
        <v>0</v>
      </c>
      <c r="F439" s="147">
        <v>0</v>
      </c>
      <c r="G439" s="147">
        <v>0</v>
      </c>
      <c r="H439" s="315">
        <v>0</v>
      </c>
      <c r="I439" s="572">
        <f t="shared" si="13"/>
        <v>0</v>
      </c>
    </row>
    <row r="440" spans="1:10" ht="10.5" customHeight="1" x14ac:dyDescent="0.15">
      <c r="A440" s="35"/>
      <c r="B440" s="152" t="s">
        <v>122</v>
      </c>
      <c r="C440" s="115" t="s">
        <v>123</v>
      </c>
      <c r="D440" s="147">
        <v>0</v>
      </c>
      <c r="E440" s="147">
        <v>0</v>
      </c>
      <c r="F440" s="147">
        <v>0</v>
      </c>
      <c r="G440" s="147">
        <v>0</v>
      </c>
      <c r="H440" s="315">
        <v>0</v>
      </c>
      <c r="I440" s="572">
        <f t="shared" si="13"/>
        <v>0</v>
      </c>
    </row>
    <row r="441" spans="1:10" ht="10.5" customHeight="1" x14ac:dyDescent="0.15">
      <c r="A441" s="35"/>
      <c r="B441" s="152" t="s">
        <v>1581</v>
      </c>
      <c r="C441" s="115" t="s">
        <v>124</v>
      </c>
      <c r="D441" s="147">
        <v>0</v>
      </c>
      <c r="E441" s="147">
        <v>0</v>
      </c>
      <c r="F441" s="147">
        <v>0</v>
      </c>
      <c r="G441" s="147">
        <v>0</v>
      </c>
      <c r="H441" s="315">
        <v>0</v>
      </c>
      <c r="I441" s="572">
        <f t="shared" si="13"/>
        <v>0</v>
      </c>
    </row>
    <row r="442" spans="1:10" ht="10.5" customHeight="1" x14ac:dyDescent="0.15">
      <c r="A442" s="35"/>
      <c r="B442" s="152" t="s">
        <v>1624</v>
      </c>
      <c r="C442" s="115" t="s">
        <v>840</v>
      </c>
      <c r="D442" s="147">
        <v>0</v>
      </c>
      <c r="E442" s="147">
        <v>0</v>
      </c>
      <c r="F442" s="147">
        <v>0</v>
      </c>
      <c r="G442" s="147">
        <v>0</v>
      </c>
      <c r="H442" s="315">
        <v>0</v>
      </c>
      <c r="I442" s="572">
        <f t="shared" si="13"/>
        <v>0</v>
      </c>
    </row>
    <row r="443" spans="1:10" ht="10.5" customHeight="1" x14ac:dyDescent="0.15">
      <c r="A443" s="35"/>
      <c r="B443" s="152" t="s">
        <v>1625</v>
      </c>
      <c r="C443" s="115" t="s">
        <v>842</v>
      </c>
      <c r="D443" s="147">
        <v>0</v>
      </c>
      <c r="E443" s="147">
        <v>0</v>
      </c>
      <c r="F443" s="147">
        <v>0</v>
      </c>
      <c r="G443" s="147">
        <v>0</v>
      </c>
      <c r="H443" s="315">
        <v>0</v>
      </c>
      <c r="I443" s="572">
        <f t="shared" si="13"/>
        <v>0</v>
      </c>
    </row>
    <row r="444" spans="1:10" ht="10.5" customHeight="1" x14ac:dyDescent="0.15">
      <c r="B444" s="152" t="s">
        <v>843</v>
      </c>
      <c r="C444" s="115" t="s">
        <v>848</v>
      </c>
      <c r="D444" s="147">
        <v>0</v>
      </c>
      <c r="E444" s="147">
        <v>0</v>
      </c>
      <c r="F444" s="147">
        <v>0</v>
      </c>
      <c r="G444" s="147">
        <v>0</v>
      </c>
      <c r="H444" s="315">
        <v>0</v>
      </c>
      <c r="I444" s="572">
        <f t="shared" si="13"/>
        <v>0</v>
      </c>
    </row>
    <row r="445" spans="1:10" ht="10.5" customHeight="1" x14ac:dyDescent="0.15">
      <c r="B445" s="152" t="s">
        <v>844</v>
      </c>
      <c r="C445" s="115" t="s">
        <v>186</v>
      </c>
      <c r="D445" s="147">
        <v>0</v>
      </c>
      <c r="E445" s="147">
        <v>0</v>
      </c>
      <c r="F445" s="147">
        <v>0</v>
      </c>
      <c r="G445" s="147">
        <v>0</v>
      </c>
      <c r="H445" s="315">
        <v>0</v>
      </c>
      <c r="I445" s="572">
        <f t="shared" si="13"/>
        <v>0</v>
      </c>
    </row>
    <row r="446" spans="1:10" ht="10.5" customHeight="1" x14ac:dyDescent="0.15">
      <c r="B446" s="152" t="s">
        <v>845</v>
      </c>
      <c r="C446" s="115" t="s">
        <v>154</v>
      </c>
      <c r="D446" s="147">
        <v>0</v>
      </c>
      <c r="E446" s="147">
        <v>0</v>
      </c>
      <c r="F446" s="147">
        <v>0</v>
      </c>
      <c r="G446" s="147">
        <v>0</v>
      </c>
      <c r="H446" s="315">
        <v>0</v>
      </c>
      <c r="I446" s="572">
        <f t="shared" si="13"/>
        <v>0</v>
      </c>
    </row>
    <row r="447" spans="1:10" ht="10.5" customHeight="1" x14ac:dyDescent="0.15">
      <c r="B447" s="152" t="s">
        <v>846</v>
      </c>
      <c r="C447" s="115" t="s">
        <v>155</v>
      </c>
      <c r="D447" s="147">
        <v>0</v>
      </c>
      <c r="E447" s="147">
        <v>0</v>
      </c>
      <c r="F447" s="147">
        <v>0</v>
      </c>
      <c r="G447" s="147">
        <v>0</v>
      </c>
      <c r="H447" s="315">
        <v>0</v>
      </c>
      <c r="I447" s="572">
        <f t="shared" si="13"/>
        <v>0</v>
      </c>
    </row>
    <row r="448" spans="1:10" ht="10.5" customHeight="1" x14ac:dyDescent="0.15">
      <c r="A448" s="35"/>
      <c r="B448" s="152" t="s">
        <v>1582</v>
      </c>
      <c r="C448" s="115" t="s">
        <v>156</v>
      </c>
      <c r="D448" s="147">
        <v>0</v>
      </c>
      <c r="E448" s="147">
        <v>0</v>
      </c>
      <c r="F448" s="147">
        <v>0</v>
      </c>
      <c r="G448" s="147">
        <v>0</v>
      </c>
      <c r="H448" s="315">
        <v>0</v>
      </c>
      <c r="I448" s="572">
        <f t="shared" si="13"/>
        <v>0</v>
      </c>
    </row>
    <row r="449" spans="1:9" ht="10.5" customHeight="1" x14ac:dyDescent="0.15">
      <c r="A449" s="35"/>
      <c r="B449" s="152" t="s">
        <v>847</v>
      </c>
      <c r="C449" s="115" t="s">
        <v>157</v>
      </c>
      <c r="D449" s="147">
        <v>0</v>
      </c>
      <c r="E449" s="147">
        <v>0</v>
      </c>
      <c r="F449" s="147">
        <v>0</v>
      </c>
      <c r="G449" s="147">
        <v>0</v>
      </c>
      <c r="H449" s="315">
        <v>0</v>
      </c>
      <c r="I449" s="572">
        <f t="shared" si="13"/>
        <v>0</v>
      </c>
    </row>
    <row r="450" spans="1:9" ht="10.5" customHeight="1" x14ac:dyDescent="0.15">
      <c r="A450" s="35"/>
      <c r="B450" s="152" t="s">
        <v>1583</v>
      </c>
      <c r="C450" s="115" t="s">
        <v>160</v>
      </c>
      <c r="D450" s="147">
        <v>0</v>
      </c>
      <c r="E450" s="147">
        <v>0</v>
      </c>
      <c r="F450" s="147">
        <v>0</v>
      </c>
      <c r="G450" s="147">
        <v>0</v>
      </c>
      <c r="H450" s="315">
        <v>0</v>
      </c>
      <c r="I450" s="572">
        <f t="shared" si="13"/>
        <v>0</v>
      </c>
    </row>
    <row r="451" spans="1:9" ht="10.5" customHeight="1" x14ac:dyDescent="0.15">
      <c r="A451" s="35"/>
      <c r="B451" s="152" t="s">
        <v>634</v>
      </c>
      <c r="C451" s="115" t="s">
        <v>165</v>
      </c>
      <c r="D451" s="147">
        <v>0</v>
      </c>
      <c r="E451" s="147">
        <v>0</v>
      </c>
      <c r="F451" s="147">
        <v>0</v>
      </c>
      <c r="G451" s="147">
        <v>0</v>
      </c>
      <c r="H451" s="315">
        <v>0</v>
      </c>
      <c r="I451" s="572">
        <f t="shared" si="13"/>
        <v>0</v>
      </c>
    </row>
    <row r="452" spans="1:9" ht="10.5" customHeight="1" x14ac:dyDescent="0.15">
      <c r="A452" s="35"/>
      <c r="B452" s="152" t="s">
        <v>202</v>
      </c>
      <c r="C452" s="115" t="s">
        <v>171</v>
      </c>
      <c r="D452" s="147">
        <v>0</v>
      </c>
      <c r="E452" s="147">
        <v>0</v>
      </c>
      <c r="F452" s="147">
        <v>0</v>
      </c>
      <c r="G452" s="147">
        <v>0</v>
      </c>
      <c r="H452" s="315">
        <v>0</v>
      </c>
      <c r="I452" s="572">
        <f t="shared" si="13"/>
        <v>0</v>
      </c>
    </row>
    <row r="453" spans="1:9" ht="10.5" customHeight="1" x14ac:dyDescent="0.15">
      <c r="A453" s="35"/>
      <c r="B453" s="152" t="s">
        <v>630</v>
      </c>
      <c r="C453" s="115" t="s">
        <v>172</v>
      </c>
      <c r="D453" s="147">
        <v>0</v>
      </c>
      <c r="E453" s="147">
        <v>0</v>
      </c>
      <c r="F453" s="147">
        <v>0</v>
      </c>
      <c r="G453" s="147">
        <v>0</v>
      </c>
      <c r="H453" s="315">
        <v>0</v>
      </c>
      <c r="I453" s="572">
        <f t="shared" si="13"/>
        <v>0</v>
      </c>
    </row>
    <row r="454" spans="1:9" ht="10.5" customHeight="1" x14ac:dyDescent="0.15">
      <c r="A454" s="35"/>
      <c r="B454" s="652" t="s">
        <v>631</v>
      </c>
      <c r="C454" s="653" t="s">
        <v>173</v>
      </c>
      <c r="D454" s="147">
        <v>0</v>
      </c>
      <c r="E454" s="147">
        <v>0</v>
      </c>
      <c r="F454" s="147">
        <v>0</v>
      </c>
      <c r="G454" s="147">
        <v>0</v>
      </c>
      <c r="H454" s="315">
        <v>0</v>
      </c>
      <c r="I454" s="572">
        <f t="shared" si="13"/>
        <v>0</v>
      </c>
    </row>
    <row r="455" spans="1:9" ht="10.5" customHeight="1" x14ac:dyDescent="0.15">
      <c r="A455" s="35"/>
      <c r="B455" s="152" t="s">
        <v>1584</v>
      </c>
      <c r="C455" s="115" t="s">
        <v>178</v>
      </c>
      <c r="D455" s="147">
        <v>0</v>
      </c>
      <c r="E455" s="147">
        <v>0</v>
      </c>
      <c r="F455" s="147">
        <v>0</v>
      </c>
      <c r="G455" s="147">
        <v>0</v>
      </c>
      <c r="H455" s="315">
        <v>0</v>
      </c>
      <c r="I455" s="572">
        <f t="shared" si="13"/>
        <v>0</v>
      </c>
    </row>
    <row r="456" spans="1:9" ht="10.5" customHeight="1" x14ac:dyDescent="0.15">
      <c r="A456" s="35"/>
      <c r="B456" s="152" t="s">
        <v>174</v>
      </c>
      <c r="C456" s="115" t="s">
        <v>179</v>
      </c>
      <c r="D456" s="147">
        <v>0</v>
      </c>
      <c r="E456" s="147">
        <v>0</v>
      </c>
      <c r="F456" s="147">
        <v>0</v>
      </c>
      <c r="G456" s="147">
        <v>0</v>
      </c>
      <c r="H456" s="315">
        <v>0</v>
      </c>
      <c r="I456" s="572">
        <f t="shared" si="13"/>
        <v>0</v>
      </c>
    </row>
    <row r="457" spans="1:9" ht="10.5" customHeight="1" x14ac:dyDescent="0.15">
      <c r="A457" s="35"/>
      <c r="B457" s="152" t="s">
        <v>175</v>
      </c>
      <c r="C457" s="115" t="s">
        <v>180</v>
      </c>
      <c r="D457" s="147">
        <v>0</v>
      </c>
      <c r="E457" s="147">
        <v>0</v>
      </c>
      <c r="F457" s="147">
        <v>0</v>
      </c>
      <c r="G457" s="147">
        <v>0</v>
      </c>
      <c r="H457" s="315">
        <v>0</v>
      </c>
      <c r="I457" s="572">
        <f t="shared" si="13"/>
        <v>0</v>
      </c>
    </row>
    <row r="458" spans="1:9" ht="10.5" customHeight="1" x14ac:dyDescent="0.15">
      <c r="A458" s="35"/>
      <c r="B458" s="152" t="s">
        <v>176</v>
      </c>
      <c r="C458" s="115" t="s">
        <v>181</v>
      </c>
      <c r="D458" s="147">
        <v>0</v>
      </c>
      <c r="E458" s="147">
        <v>0</v>
      </c>
      <c r="F458" s="147">
        <v>0</v>
      </c>
      <c r="G458" s="147">
        <v>0</v>
      </c>
      <c r="H458" s="315">
        <v>0</v>
      </c>
      <c r="I458" s="572">
        <f t="shared" si="13"/>
        <v>0</v>
      </c>
    </row>
    <row r="459" spans="1:9" ht="10.5" customHeight="1" x14ac:dyDescent="0.15">
      <c r="A459" s="35"/>
      <c r="B459" s="152" t="s">
        <v>177</v>
      </c>
      <c r="C459" s="115" t="s">
        <v>182</v>
      </c>
      <c r="D459" s="147">
        <v>0</v>
      </c>
      <c r="E459" s="147">
        <v>0</v>
      </c>
      <c r="F459" s="147">
        <v>0</v>
      </c>
      <c r="G459" s="147">
        <v>0</v>
      </c>
      <c r="H459" s="315">
        <v>0</v>
      </c>
      <c r="I459" s="572">
        <f t="shared" si="13"/>
        <v>0</v>
      </c>
    </row>
    <row r="460" spans="1:9" ht="10.5" customHeight="1" thickBot="1" x14ac:dyDescent="0.2">
      <c r="A460" s="35"/>
      <c r="B460" s="152" t="s">
        <v>632</v>
      </c>
      <c r="C460" s="115" t="s">
        <v>183</v>
      </c>
      <c r="D460" s="144">
        <v>0</v>
      </c>
      <c r="E460" s="144">
        <v>0</v>
      </c>
      <c r="F460" s="144">
        <v>0</v>
      </c>
      <c r="G460" s="144">
        <v>0</v>
      </c>
      <c r="H460" s="315">
        <v>0</v>
      </c>
      <c r="I460" s="572">
        <f t="shared" si="13"/>
        <v>0</v>
      </c>
    </row>
    <row r="461" spans="1:9" ht="10.5" customHeight="1" thickTop="1" thickBot="1" x14ac:dyDescent="0.2">
      <c r="A461" s="35"/>
      <c r="B461" s="152"/>
      <c r="C461" s="115" t="s">
        <v>668</v>
      </c>
      <c r="D461" s="169">
        <f>SUM(D433:D460)</f>
        <v>0</v>
      </c>
      <c r="E461" s="169">
        <f>SUM(E433:E460)</f>
        <v>0</v>
      </c>
      <c r="F461" s="169">
        <f>SUM(F433:F460)</f>
        <v>0</v>
      </c>
      <c r="G461" s="169">
        <f>SUM(G433:G460)</f>
        <v>0</v>
      </c>
      <c r="H461" s="169">
        <f>SUM(H433:H460)</f>
        <v>0</v>
      </c>
      <c r="I461" s="304">
        <f>G461+H461</f>
        <v>0</v>
      </c>
    </row>
    <row r="462" spans="1:9" ht="10.5" customHeight="1" thickTop="1" x14ac:dyDescent="0.15">
      <c r="A462" s="35"/>
      <c r="B462" s="152"/>
      <c r="C462" s="115"/>
      <c r="D462" s="14"/>
      <c r="E462" s="14"/>
      <c r="F462" s="14"/>
      <c r="G462" s="14"/>
      <c r="H462" s="305"/>
      <c r="I462" s="305"/>
    </row>
    <row r="463" spans="1:9" ht="10.5" customHeight="1" x14ac:dyDescent="0.15">
      <c r="A463" s="35" t="s">
        <v>669</v>
      </c>
      <c r="C463" s="115"/>
      <c r="D463" s="14"/>
      <c r="E463" s="14"/>
      <c r="F463" s="14"/>
      <c r="G463" s="14"/>
      <c r="H463" s="305"/>
      <c r="I463" s="305"/>
    </row>
    <row r="464" spans="1:9" s="309" customFormat="1" x14ac:dyDescent="0.15">
      <c r="B464" s="311" t="s">
        <v>1577</v>
      </c>
      <c r="C464" s="312" t="s">
        <v>228</v>
      </c>
      <c r="D464" s="316">
        <v>0</v>
      </c>
      <c r="E464" s="316">
        <v>0</v>
      </c>
      <c r="F464" s="316">
        <v>0</v>
      </c>
      <c r="G464" s="528">
        <f t="array" ref="G464">SUM(IF(CertFund&amp;CertProg&amp;CertObj=RIGHT(LEFT($A$2,7),2)&amp;LEFT(A463,4)&amp;B464,CertSalary))</f>
        <v>0</v>
      </c>
      <c r="H464" s="527">
        <v>0</v>
      </c>
      <c r="I464" s="566">
        <f>SUM(G464+H464)</f>
        <v>0</v>
      </c>
    </row>
    <row r="465" spans="1:9" s="309" customFormat="1" x14ac:dyDescent="0.15">
      <c r="B465" s="311" t="s">
        <v>1577</v>
      </c>
      <c r="C465" s="312" t="s">
        <v>510</v>
      </c>
      <c r="D465" s="316">
        <v>0</v>
      </c>
      <c r="E465" s="316">
        <v>0</v>
      </c>
      <c r="F465" s="316">
        <v>0</v>
      </c>
      <c r="G465" s="316">
        <v>0</v>
      </c>
      <c r="H465" s="527">
        <v>0</v>
      </c>
      <c r="I465" s="566">
        <f>SUM(G465+H465)</f>
        <v>0</v>
      </c>
    </row>
    <row r="466" spans="1:9" s="309" customFormat="1" x14ac:dyDescent="0.15">
      <c r="A466" s="312"/>
      <c r="B466" s="311" t="s">
        <v>1578</v>
      </c>
      <c r="C466" s="312" t="s">
        <v>936</v>
      </c>
      <c r="D466" s="316">
        <v>0</v>
      </c>
      <c r="E466" s="316">
        <v>0</v>
      </c>
      <c r="F466" s="316">
        <v>0</v>
      </c>
      <c r="G466" s="529">
        <f t="array" ref="G466">SUM(IF(CertFund&amp;CertProg&amp;CertObj=RIGHT(LEFT($A$2,7),2)&amp;LEFT(A463,4)&amp;B464,CertBen))</f>
        <v>0</v>
      </c>
      <c r="H466" s="527">
        <v>0</v>
      </c>
      <c r="I466" s="566">
        <f>SUM(G466+H466)</f>
        <v>0</v>
      </c>
    </row>
    <row r="467" spans="1:9" s="309" customFormat="1" x14ac:dyDescent="0.15">
      <c r="A467" s="312"/>
      <c r="B467" s="311" t="s">
        <v>1578</v>
      </c>
      <c r="C467" s="312" t="s">
        <v>511</v>
      </c>
      <c r="D467" s="316">
        <v>0</v>
      </c>
      <c r="E467" s="316">
        <v>0</v>
      </c>
      <c r="F467" s="316">
        <v>0</v>
      </c>
      <c r="G467" s="316">
        <v>0</v>
      </c>
      <c r="H467" s="527">
        <v>0</v>
      </c>
      <c r="I467" s="566">
        <f>SUM(G467+H467)</f>
        <v>0</v>
      </c>
    </row>
    <row r="468" spans="1:9" ht="10.5" customHeight="1" x14ac:dyDescent="0.15">
      <c r="B468" s="152" t="s">
        <v>1579</v>
      </c>
      <c r="C468" s="115" t="s">
        <v>118</v>
      </c>
      <c r="D468" s="147">
        <v>0</v>
      </c>
      <c r="E468" s="147">
        <v>0</v>
      </c>
      <c r="F468" s="147">
        <v>0</v>
      </c>
      <c r="G468" s="147">
        <v>0</v>
      </c>
      <c r="H468" s="315">
        <v>0</v>
      </c>
      <c r="I468" s="572">
        <f t="shared" ref="I468:I491" si="14">SUM(G468+H468)</f>
        <v>0</v>
      </c>
    </row>
    <row r="469" spans="1:9" ht="10.5" customHeight="1" x14ac:dyDescent="0.15">
      <c r="B469" s="152" t="s">
        <v>1580</v>
      </c>
      <c r="C469" s="115" t="s">
        <v>119</v>
      </c>
      <c r="D469" s="147">
        <v>0</v>
      </c>
      <c r="E469" s="147">
        <v>0</v>
      </c>
      <c r="F469" s="147">
        <v>0</v>
      </c>
      <c r="G469" s="147">
        <v>0</v>
      </c>
      <c r="H469" s="315">
        <v>0</v>
      </c>
      <c r="I469" s="572">
        <f t="shared" si="14"/>
        <v>0</v>
      </c>
    </row>
    <row r="470" spans="1:9" ht="10.5" customHeight="1" x14ac:dyDescent="0.15">
      <c r="B470" s="152" t="s">
        <v>120</v>
      </c>
      <c r="C470" s="115" t="s">
        <v>121</v>
      </c>
      <c r="D470" s="147">
        <v>0</v>
      </c>
      <c r="E470" s="147">
        <v>0</v>
      </c>
      <c r="F470" s="147">
        <v>0</v>
      </c>
      <c r="G470" s="147">
        <v>0</v>
      </c>
      <c r="H470" s="315">
        <v>0</v>
      </c>
      <c r="I470" s="572">
        <f t="shared" si="14"/>
        <v>0</v>
      </c>
    </row>
    <row r="471" spans="1:9" ht="10.5" customHeight="1" x14ac:dyDescent="0.15">
      <c r="B471" s="152" t="s">
        <v>122</v>
      </c>
      <c r="C471" s="115" t="s">
        <v>123</v>
      </c>
      <c r="D471" s="147">
        <v>0</v>
      </c>
      <c r="E471" s="147">
        <v>0</v>
      </c>
      <c r="F471" s="147">
        <v>0</v>
      </c>
      <c r="G471" s="147">
        <v>0</v>
      </c>
      <c r="H471" s="315">
        <v>0</v>
      </c>
      <c r="I471" s="572">
        <f t="shared" si="14"/>
        <v>0</v>
      </c>
    </row>
    <row r="472" spans="1:9" ht="10.5" customHeight="1" x14ac:dyDescent="0.15">
      <c r="B472" s="152" t="s">
        <v>1581</v>
      </c>
      <c r="C472" s="115" t="s">
        <v>124</v>
      </c>
      <c r="D472" s="147">
        <v>0</v>
      </c>
      <c r="E472" s="147">
        <v>0</v>
      </c>
      <c r="F472" s="147">
        <v>0</v>
      </c>
      <c r="G472" s="147">
        <v>0</v>
      </c>
      <c r="H472" s="315">
        <v>0</v>
      </c>
      <c r="I472" s="572">
        <f t="shared" si="14"/>
        <v>0</v>
      </c>
    </row>
    <row r="473" spans="1:9" ht="10.5" customHeight="1" x14ac:dyDescent="0.15">
      <c r="B473" s="152" t="s">
        <v>127</v>
      </c>
      <c r="C473" s="115" t="s">
        <v>134</v>
      </c>
      <c r="D473" s="147">
        <v>0</v>
      </c>
      <c r="E473" s="147">
        <v>0</v>
      </c>
      <c r="F473" s="147">
        <v>0</v>
      </c>
      <c r="G473" s="147">
        <v>0</v>
      </c>
      <c r="H473" s="315">
        <v>0</v>
      </c>
      <c r="I473" s="572">
        <f t="shared" si="14"/>
        <v>0</v>
      </c>
    </row>
    <row r="474" spans="1:9" ht="10.5" customHeight="1" x14ac:dyDescent="0.15">
      <c r="B474" s="152" t="s">
        <v>1624</v>
      </c>
      <c r="C474" s="115" t="s">
        <v>840</v>
      </c>
      <c r="D474" s="147">
        <v>0</v>
      </c>
      <c r="E474" s="147">
        <v>0</v>
      </c>
      <c r="F474" s="147">
        <v>0</v>
      </c>
      <c r="G474" s="147">
        <v>0</v>
      </c>
      <c r="H474" s="315">
        <v>0</v>
      </c>
      <c r="I474" s="572">
        <f t="shared" si="14"/>
        <v>0</v>
      </c>
    </row>
    <row r="475" spans="1:9" ht="10.5" customHeight="1" x14ac:dyDescent="0.15">
      <c r="B475" s="152" t="s">
        <v>1625</v>
      </c>
      <c r="C475" s="115" t="s">
        <v>842</v>
      </c>
      <c r="D475" s="147">
        <v>0</v>
      </c>
      <c r="E475" s="147">
        <v>0</v>
      </c>
      <c r="F475" s="147">
        <v>0</v>
      </c>
      <c r="G475" s="147">
        <v>0</v>
      </c>
      <c r="H475" s="315">
        <v>0</v>
      </c>
      <c r="I475" s="572">
        <f t="shared" si="14"/>
        <v>0</v>
      </c>
    </row>
    <row r="476" spans="1:9" ht="10.5" customHeight="1" x14ac:dyDescent="0.15">
      <c r="B476" s="152" t="s">
        <v>843</v>
      </c>
      <c r="C476" s="115" t="s">
        <v>848</v>
      </c>
      <c r="D476" s="147">
        <v>0</v>
      </c>
      <c r="E476" s="147">
        <v>0</v>
      </c>
      <c r="F476" s="147">
        <v>0</v>
      </c>
      <c r="G476" s="147">
        <v>0</v>
      </c>
      <c r="H476" s="315">
        <v>0</v>
      </c>
      <c r="I476" s="572">
        <f t="shared" si="14"/>
        <v>0</v>
      </c>
    </row>
    <row r="477" spans="1:9" ht="10.5" customHeight="1" x14ac:dyDescent="0.15">
      <c r="B477" s="152" t="s">
        <v>844</v>
      </c>
      <c r="C477" s="115" t="s">
        <v>186</v>
      </c>
      <c r="D477" s="147">
        <v>0</v>
      </c>
      <c r="E477" s="147">
        <v>0</v>
      </c>
      <c r="F477" s="147">
        <v>0</v>
      </c>
      <c r="G477" s="147">
        <v>0</v>
      </c>
      <c r="H477" s="315">
        <v>0</v>
      </c>
      <c r="I477" s="572">
        <f t="shared" si="14"/>
        <v>0</v>
      </c>
    </row>
    <row r="478" spans="1:9" ht="10.5" customHeight="1" x14ac:dyDescent="0.15">
      <c r="B478" s="152" t="s">
        <v>845</v>
      </c>
      <c r="C478" s="115" t="s">
        <v>154</v>
      </c>
      <c r="D478" s="147">
        <v>0</v>
      </c>
      <c r="E478" s="147">
        <v>0</v>
      </c>
      <c r="F478" s="147">
        <v>0</v>
      </c>
      <c r="G478" s="147">
        <v>0</v>
      </c>
      <c r="H478" s="315">
        <v>0</v>
      </c>
      <c r="I478" s="572">
        <f t="shared" si="14"/>
        <v>0</v>
      </c>
    </row>
    <row r="479" spans="1:9" ht="10.5" customHeight="1" x14ac:dyDescent="0.15">
      <c r="B479" s="152" t="s">
        <v>846</v>
      </c>
      <c r="C479" s="115" t="s">
        <v>155</v>
      </c>
      <c r="D479" s="147">
        <v>0</v>
      </c>
      <c r="E479" s="147">
        <v>0</v>
      </c>
      <c r="F479" s="147">
        <v>0</v>
      </c>
      <c r="G479" s="147">
        <v>0</v>
      </c>
      <c r="H479" s="315">
        <v>0</v>
      </c>
      <c r="I479" s="572">
        <f t="shared" si="14"/>
        <v>0</v>
      </c>
    </row>
    <row r="480" spans="1:9" ht="10.5" customHeight="1" x14ac:dyDescent="0.15">
      <c r="B480" s="152" t="s">
        <v>1582</v>
      </c>
      <c r="C480" s="115" t="s">
        <v>156</v>
      </c>
      <c r="D480" s="147">
        <v>0</v>
      </c>
      <c r="E480" s="147">
        <v>0</v>
      </c>
      <c r="F480" s="147">
        <v>0</v>
      </c>
      <c r="G480" s="147">
        <v>0</v>
      </c>
      <c r="H480" s="315">
        <v>0</v>
      </c>
      <c r="I480" s="572">
        <f t="shared" si="14"/>
        <v>0</v>
      </c>
    </row>
    <row r="481" spans="1:9" ht="10.5" customHeight="1" x14ac:dyDescent="0.15">
      <c r="B481" s="152" t="s">
        <v>847</v>
      </c>
      <c r="C481" s="115" t="s">
        <v>157</v>
      </c>
      <c r="D481" s="147">
        <v>0</v>
      </c>
      <c r="E481" s="147">
        <v>0</v>
      </c>
      <c r="F481" s="147">
        <v>0</v>
      </c>
      <c r="G481" s="147">
        <v>0</v>
      </c>
      <c r="H481" s="315">
        <v>0</v>
      </c>
      <c r="I481" s="572">
        <f t="shared" si="14"/>
        <v>0</v>
      </c>
    </row>
    <row r="482" spans="1:9" ht="10.5" customHeight="1" x14ac:dyDescent="0.15">
      <c r="B482" s="152" t="s">
        <v>1583</v>
      </c>
      <c r="C482" s="115" t="s">
        <v>160</v>
      </c>
      <c r="D482" s="147">
        <v>0</v>
      </c>
      <c r="E482" s="147">
        <v>0</v>
      </c>
      <c r="F482" s="147">
        <v>0</v>
      </c>
      <c r="G482" s="147">
        <v>0</v>
      </c>
      <c r="H482" s="315">
        <v>0</v>
      </c>
      <c r="I482" s="572">
        <f t="shared" si="14"/>
        <v>0</v>
      </c>
    </row>
    <row r="483" spans="1:9" ht="10.5" customHeight="1" x14ac:dyDescent="0.15">
      <c r="B483" s="152" t="s">
        <v>634</v>
      </c>
      <c r="C483" s="115" t="s">
        <v>165</v>
      </c>
      <c r="D483" s="147">
        <v>0</v>
      </c>
      <c r="E483" s="147">
        <v>0</v>
      </c>
      <c r="F483" s="147">
        <v>0</v>
      </c>
      <c r="G483" s="147">
        <v>0</v>
      </c>
      <c r="H483" s="315">
        <v>0</v>
      </c>
      <c r="I483" s="572">
        <f t="shared" si="14"/>
        <v>0</v>
      </c>
    </row>
    <row r="484" spans="1:9" ht="10.5" customHeight="1" x14ac:dyDescent="0.15">
      <c r="B484" s="152" t="s">
        <v>630</v>
      </c>
      <c r="C484" s="115" t="s">
        <v>172</v>
      </c>
      <c r="D484" s="147">
        <v>0</v>
      </c>
      <c r="E484" s="147">
        <v>0</v>
      </c>
      <c r="F484" s="147">
        <v>0</v>
      </c>
      <c r="G484" s="147">
        <v>0</v>
      </c>
      <c r="H484" s="315">
        <v>0</v>
      </c>
      <c r="I484" s="572">
        <f t="shared" si="14"/>
        <v>0</v>
      </c>
    </row>
    <row r="485" spans="1:9" ht="10.5" customHeight="1" x14ac:dyDescent="0.15">
      <c r="B485" s="652" t="s">
        <v>631</v>
      </c>
      <c r="C485" s="653" t="s">
        <v>173</v>
      </c>
      <c r="D485" s="147">
        <v>0</v>
      </c>
      <c r="E485" s="147">
        <v>0</v>
      </c>
      <c r="F485" s="147">
        <v>0</v>
      </c>
      <c r="G485" s="147">
        <v>0</v>
      </c>
      <c r="H485" s="315">
        <v>0</v>
      </c>
      <c r="I485" s="572">
        <f t="shared" si="14"/>
        <v>0</v>
      </c>
    </row>
    <row r="486" spans="1:9" ht="10.5" customHeight="1" x14ac:dyDescent="0.15">
      <c r="B486" s="152" t="s">
        <v>1584</v>
      </c>
      <c r="C486" s="115" t="s">
        <v>178</v>
      </c>
      <c r="D486" s="147">
        <v>0</v>
      </c>
      <c r="E486" s="147">
        <v>0</v>
      </c>
      <c r="F486" s="147">
        <v>0</v>
      </c>
      <c r="G486" s="147">
        <v>0</v>
      </c>
      <c r="H486" s="315">
        <v>0</v>
      </c>
      <c r="I486" s="572">
        <f t="shared" si="14"/>
        <v>0</v>
      </c>
    </row>
    <row r="487" spans="1:9" ht="10.5" customHeight="1" x14ac:dyDescent="0.15">
      <c r="B487" s="152" t="s">
        <v>174</v>
      </c>
      <c r="C487" s="115" t="s">
        <v>179</v>
      </c>
      <c r="D487" s="147">
        <v>0</v>
      </c>
      <c r="E487" s="147">
        <v>0</v>
      </c>
      <c r="F487" s="147">
        <v>0</v>
      </c>
      <c r="G487" s="147">
        <v>0</v>
      </c>
      <c r="H487" s="315">
        <v>0</v>
      </c>
      <c r="I487" s="572">
        <f t="shared" si="14"/>
        <v>0</v>
      </c>
    </row>
    <row r="488" spans="1:9" ht="10.5" customHeight="1" x14ac:dyDescent="0.15">
      <c r="B488" s="152" t="s">
        <v>175</v>
      </c>
      <c r="C488" s="115" t="s">
        <v>180</v>
      </c>
      <c r="D488" s="147">
        <v>0</v>
      </c>
      <c r="E488" s="147">
        <v>0</v>
      </c>
      <c r="F488" s="147">
        <v>0</v>
      </c>
      <c r="G488" s="147">
        <v>0</v>
      </c>
      <c r="H488" s="315">
        <v>0</v>
      </c>
      <c r="I488" s="572">
        <f t="shared" si="14"/>
        <v>0</v>
      </c>
    </row>
    <row r="489" spans="1:9" ht="10.5" customHeight="1" x14ac:dyDescent="0.15">
      <c r="B489" s="152" t="s">
        <v>176</v>
      </c>
      <c r="C489" s="115" t="s">
        <v>181</v>
      </c>
      <c r="D489" s="147">
        <v>0</v>
      </c>
      <c r="E489" s="147">
        <v>0</v>
      </c>
      <c r="F489" s="147">
        <v>0</v>
      </c>
      <c r="G489" s="147">
        <v>0</v>
      </c>
      <c r="H489" s="315">
        <v>0</v>
      </c>
      <c r="I489" s="572">
        <f t="shared" si="14"/>
        <v>0</v>
      </c>
    </row>
    <row r="490" spans="1:9" ht="10.5" customHeight="1" x14ac:dyDescent="0.15">
      <c r="B490" s="152" t="s">
        <v>177</v>
      </c>
      <c r="C490" s="115" t="s">
        <v>182</v>
      </c>
      <c r="D490" s="147">
        <v>0</v>
      </c>
      <c r="E490" s="147">
        <v>0</v>
      </c>
      <c r="F490" s="147">
        <v>0</v>
      </c>
      <c r="G490" s="147">
        <v>0</v>
      </c>
      <c r="H490" s="315">
        <v>0</v>
      </c>
      <c r="I490" s="572">
        <f t="shared" si="14"/>
        <v>0</v>
      </c>
    </row>
    <row r="491" spans="1:9" ht="10.5" customHeight="1" thickBot="1" x14ac:dyDescent="0.2">
      <c r="B491" s="152" t="s">
        <v>632</v>
      </c>
      <c r="C491" s="115" t="s">
        <v>183</v>
      </c>
      <c r="D491" s="144">
        <v>0</v>
      </c>
      <c r="E491" s="144">
        <v>0</v>
      </c>
      <c r="F491" s="144">
        <v>0</v>
      </c>
      <c r="G491" s="144">
        <v>0</v>
      </c>
      <c r="H491" s="315">
        <v>0</v>
      </c>
      <c r="I491" s="572">
        <f t="shared" si="14"/>
        <v>0</v>
      </c>
    </row>
    <row r="492" spans="1:9" ht="10.5" customHeight="1" thickTop="1" thickBot="1" x14ac:dyDescent="0.2">
      <c r="B492" s="152"/>
      <c r="C492" s="115" t="s">
        <v>670</v>
      </c>
      <c r="D492" s="169">
        <f>SUM(D464:D491)</f>
        <v>0</v>
      </c>
      <c r="E492" s="169">
        <f>SUM(E464:E491)</f>
        <v>0</v>
      </c>
      <c r="F492" s="169">
        <f>SUM(F464:F491)</f>
        <v>0</v>
      </c>
      <c r="G492" s="169">
        <f>SUM(G464:G491)</f>
        <v>0</v>
      </c>
      <c r="H492" s="169">
        <f>SUM(H464:H491)</f>
        <v>0</v>
      </c>
      <c r="I492" s="304">
        <f>G492+H492</f>
        <v>0</v>
      </c>
    </row>
    <row r="493" spans="1:9" ht="10.5" customHeight="1" thickTop="1" x14ac:dyDescent="0.15">
      <c r="B493" s="152"/>
      <c r="C493" s="115"/>
      <c r="D493" s="14"/>
      <c r="E493" s="14"/>
      <c r="F493" s="14"/>
      <c r="G493" s="14"/>
      <c r="H493" s="305"/>
      <c r="I493" s="305"/>
    </row>
    <row r="494" spans="1:9" ht="10.5" customHeight="1" x14ac:dyDescent="0.15">
      <c r="A494" s="35" t="s">
        <v>671</v>
      </c>
      <c r="C494" s="115"/>
      <c r="D494" s="14"/>
      <c r="E494" s="14"/>
      <c r="F494" s="14"/>
      <c r="G494" s="14"/>
      <c r="H494" s="305"/>
      <c r="I494" s="305"/>
    </row>
    <row r="495" spans="1:9" s="309" customFormat="1" x14ac:dyDescent="0.15">
      <c r="B495" s="311" t="s">
        <v>1577</v>
      </c>
      <c r="C495" s="312" t="s">
        <v>228</v>
      </c>
      <c r="D495" s="316">
        <v>0</v>
      </c>
      <c r="E495" s="316">
        <v>0</v>
      </c>
      <c r="F495" s="316">
        <v>0</v>
      </c>
      <c r="G495" s="528">
        <f t="array" ref="G495">SUM(IF(CertFund&amp;CertProg&amp;CertObj=RIGHT(LEFT($A$2,7),2)&amp;LEFT(A494,4)&amp;B495,CertSalary))</f>
        <v>0</v>
      </c>
      <c r="H495" s="527">
        <v>0</v>
      </c>
      <c r="I495" s="566">
        <f>SUM(G495+H495)</f>
        <v>0</v>
      </c>
    </row>
    <row r="496" spans="1:9" s="309" customFormat="1" x14ac:dyDescent="0.15">
      <c r="B496" s="311" t="s">
        <v>1577</v>
      </c>
      <c r="C496" s="312" t="s">
        <v>510</v>
      </c>
      <c r="D496" s="316">
        <v>0</v>
      </c>
      <c r="E496" s="316">
        <v>0</v>
      </c>
      <c r="F496" s="316">
        <v>0</v>
      </c>
      <c r="G496" s="316">
        <v>0</v>
      </c>
      <c r="H496" s="527">
        <v>0</v>
      </c>
      <c r="I496" s="566">
        <f>SUM(G496+H496)</f>
        <v>0</v>
      </c>
    </row>
    <row r="497" spans="1:10" s="309" customFormat="1" x14ac:dyDescent="0.15">
      <c r="A497" s="312"/>
      <c r="B497" s="311" t="s">
        <v>1578</v>
      </c>
      <c r="C497" s="312" t="s">
        <v>936</v>
      </c>
      <c r="D497" s="316">
        <v>0</v>
      </c>
      <c r="E497" s="316">
        <v>0</v>
      </c>
      <c r="F497" s="316">
        <v>0</v>
      </c>
      <c r="G497" s="529">
        <f t="array" ref="G497">SUM(IF(CertFund&amp;CertProg&amp;CertObj=RIGHT(LEFT($A$2,7),2)&amp;LEFT(A494,4)&amp;B495,CertBen))</f>
        <v>0</v>
      </c>
      <c r="H497" s="527">
        <v>0</v>
      </c>
      <c r="I497" s="566">
        <f>SUM(G497+H497)</f>
        <v>0</v>
      </c>
    </row>
    <row r="498" spans="1:10" x14ac:dyDescent="0.15">
      <c r="A498" s="115"/>
      <c r="B498" s="152" t="s">
        <v>1578</v>
      </c>
      <c r="C498" s="115" t="s">
        <v>511</v>
      </c>
      <c r="D498" s="147">
        <v>0</v>
      </c>
      <c r="E498" s="147">
        <v>0</v>
      </c>
      <c r="F498" s="147">
        <v>0</v>
      </c>
      <c r="G498" s="147">
        <v>0</v>
      </c>
      <c r="H498" s="150">
        <v>0</v>
      </c>
      <c r="I498" s="567">
        <f>SUM(G498+H498)</f>
        <v>0</v>
      </c>
      <c r="J498" s="309"/>
    </row>
    <row r="499" spans="1:10" ht="10.5" customHeight="1" x14ac:dyDescent="0.15">
      <c r="B499" s="152" t="s">
        <v>1579</v>
      </c>
      <c r="C499" s="115" t="s">
        <v>118</v>
      </c>
      <c r="D499" s="147">
        <v>0</v>
      </c>
      <c r="E499" s="147">
        <v>0</v>
      </c>
      <c r="F499" s="147">
        <v>0</v>
      </c>
      <c r="G499" s="147">
        <v>0</v>
      </c>
      <c r="H499" s="315">
        <v>0</v>
      </c>
      <c r="I499" s="572">
        <f t="shared" ref="I499:I524" si="15">SUM(G499+H499)</f>
        <v>0</v>
      </c>
    </row>
    <row r="500" spans="1:10" ht="10.5" customHeight="1" x14ac:dyDescent="0.15">
      <c r="B500" s="152" t="s">
        <v>1580</v>
      </c>
      <c r="C500" s="115" t="s">
        <v>119</v>
      </c>
      <c r="D500" s="147">
        <v>0</v>
      </c>
      <c r="E500" s="147">
        <v>0</v>
      </c>
      <c r="F500" s="147">
        <v>0</v>
      </c>
      <c r="G500" s="147">
        <v>0</v>
      </c>
      <c r="H500" s="315">
        <v>0</v>
      </c>
      <c r="I500" s="572">
        <f t="shared" si="15"/>
        <v>0</v>
      </c>
    </row>
    <row r="501" spans="1:10" ht="10.5" customHeight="1" x14ac:dyDescent="0.15">
      <c r="B501" s="152" t="s">
        <v>120</v>
      </c>
      <c r="C501" s="115" t="s">
        <v>121</v>
      </c>
      <c r="D501" s="147">
        <v>0</v>
      </c>
      <c r="E501" s="147">
        <v>0</v>
      </c>
      <c r="F501" s="147">
        <v>0</v>
      </c>
      <c r="G501" s="147">
        <v>0</v>
      </c>
      <c r="H501" s="315">
        <v>0</v>
      </c>
      <c r="I501" s="572">
        <f t="shared" si="15"/>
        <v>0</v>
      </c>
    </row>
    <row r="502" spans="1:10" ht="10.5" customHeight="1" x14ac:dyDescent="0.15">
      <c r="B502" s="152" t="s">
        <v>122</v>
      </c>
      <c r="C502" s="115" t="s">
        <v>123</v>
      </c>
      <c r="D502" s="147">
        <v>0</v>
      </c>
      <c r="E502" s="147">
        <v>0</v>
      </c>
      <c r="F502" s="147">
        <v>0</v>
      </c>
      <c r="G502" s="147">
        <v>0</v>
      </c>
      <c r="H502" s="315">
        <v>0</v>
      </c>
      <c r="I502" s="572">
        <f t="shared" si="15"/>
        <v>0</v>
      </c>
    </row>
    <row r="503" spans="1:10" ht="10.5" customHeight="1" x14ac:dyDescent="0.15">
      <c r="B503" s="152" t="s">
        <v>1581</v>
      </c>
      <c r="C503" s="115" t="s">
        <v>124</v>
      </c>
      <c r="D503" s="147">
        <v>0</v>
      </c>
      <c r="E503" s="147">
        <v>0</v>
      </c>
      <c r="F503" s="147">
        <v>0</v>
      </c>
      <c r="G503" s="147">
        <v>0</v>
      </c>
      <c r="H503" s="315">
        <v>0</v>
      </c>
      <c r="I503" s="572">
        <f t="shared" si="15"/>
        <v>0</v>
      </c>
    </row>
    <row r="504" spans="1:10" ht="10.5" customHeight="1" x14ac:dyDescent="0.15">
      <c r="B504" s="152" t="s">
        <v>1625</v>
      </c>
      <c r="C504" s="115" t="s">
        <v>842</v>
      </c>
      <c r="D504" s="147">
        <v>0</v>
      </c>
      <c r="E504" s="147">
        <v>0</v>
      </c>
      <c r="F504" s="147">
        <v>0</v>
      </c>
      <c r="G504" s="147">
        <v>0</v>
      </c>
      <c r="H504" s="315">
        <v>0</v>
      </c>
      <c r="I504" s="572">
        <f t="shared" si="15"/>
        <v>0</v>
      </c>
    </row>
    <row r="505" spans="1:10" ht="10.5" customHeight="1" x14ac:dyDescent="0.15">
      <c r="B505" s="152" t="s">
        <v>843</v>
      </c>
      <c r="C505" s="115" t="s">
        <v>848</v>
      </c>
      <c r="D505" s="147">
        <v>0</v>
      </c>
      <c r="E505" s="147">
        <v>0</v>
      </c>
      <c r="F505" s="147">
        <v>0</v>
      </c>
      <c r="G505" s="147">
        <v>0</v>
      </c>
      <c r="H505" s="315">
        <v>0</v>
      </c>
      <c r="I505" s="572">
        <f t="shared" si="15"/>
        <v>0</v>
      </c>
    </row>
    <row r="506" spans="1:10" ht="10.5" customHeight="1" x14ac:dyDescent="0.15">
      <c r="B506" s="152" t="s">
        <v>844</v>
      </c>
      <c r="C506" s="115" t="s">
        <v>186</v>
      </c>
      <c r="D506" s="147">
        <v>0</v>
      </c>
      <c r="E506" s="147">
        <v>0</v>
      </c>
      <c r="F506" s="147">
        <v>0</v>
      </c>
      <c r="G506" s="147">
        <v>0</v>
      </c>
      <c r="H506" s="315">
        <v>0</v>
      </c>
      <c r="I506" s="572">
        <f t="shared" si="15"/>
        <v>0</v>
      </c>
    </row>
    <row r="507" spans="1:10" ht="10.5" customHeight="1" x14ac:dyDescent="0.15">
      <c r="B507" s="152" t="s">
        <v>845</v>
      </c>
      <c r="C507" s="115" t="s">
        <v>154</v>
      </c>
      <c r="D507" s="147">
        <v>0</v>
      </c>
      <c r="E507" s="147">
        <v>0</v>
      </c>
      <c r="F507" s="147">
        <v>0</v>
      </c>
      <c r="G507" s="147">
        <v>0</v>
      </c>
      <c r="H507" s="315">
        <v>0</v>
      </c>
      <c r="I507" s="572">
        <f t="shared" si="15"/>
        <v>0</v>
      </c>
    </row>
    <row r="508" spans="1:10" ht="10.5" customHeight="1" x14ac:dyDescent="0.15">
      <c r="B508" s="152" t="s">
        <v>846</v>
      </c>
      <c r="C508" s="115" t="s">
        <v>155</v>
      </c>
      <c r="D508" s="147">
        <v>0</v>
      </c>
      <c r="E508" s="147">
        <v>0</v>
      </c>
      <c r="F508" s="147">
        <v>0</v>
      </c>
      <c r="G508" s="147">
        <v>0</v>
      </c>
      <c r="H508" s="315">
        <v>0</v>
      </c>
      <c r="I508" s="572">
        <f t="shared" si="15"/>
        <v>0</v>
      </c>
    </row>
    <row r="509" spans="1:10" ht="10.5" customHeight="1" x14ac:dyDescent="0.15">
      <c r="B509" s="152" t="s">
        <v>1582</v>
      </c>
      <c r="C509" s="115" t="s">
        <v>156</v>
      </c>
      <c r="D509" s="147">
        <v>0</v>
      </c>
      <c r="E509" s="147">
        <v>0</v>
      </c>
      <c r="F509" s="147">
        <v>0</v>
      </c>
      <c r="G509" s="147">
        <v>0</v>
      </c>
      <c r="H509" s="315">
        <v>0</v>
      </c>
      <c r="I509" s="572">
        <f t="shared" si="15"/>
        <v>0</v>
      </c>
    </row>
    <row r="510" spans="1:10" ht="10.5" customHeight="1" x14ac:dyDescent="0.15">
      <c r="B510" s="152" t="s">
        <v>847</v>
      </c>
      <c r="C510" s="115" t="s">
        <v>157</v>
      </c>
      <c r="D510" s="147">
        <v>0</v>
      </c>
      <c r="E510" s="147">
        <v>0</v>
      </c>
      <c r="F510" s="147">
        <v>0</v>
      </c>
      <c r="G510" s="147">
        <v>0</v>
      </c>
      <c r="H510" s="315">
        <v>0</v>
      </c>
      <c r="I510" s="572">
        <f t="shared" si="15"/>
        <v>0</v>
      </c>
    </row>
    <row r="511" spans="1:10" ht="10.5" customHeight="1" x14ac:dyDescent="0.15">
      <c r="B511" s="152" t="s">
        <v>1583</v>
      </c>
      <c r="C511" s="115" t="s">
        <v>160</v>
      </c>
      <c r="D511" s="147">
        <v>0</v>
      </c>
      <c r="E511" s="147">
        <v>0</v>
      </c>
      <c r="F511" s="147">
        <v>0</v>
      </c>
      <c r="G511" s="147">
        <v>0</v>
      </c>
      <c r="H511" s="315">
        <v>0</v>
      </c>
      <c r="I511" s="572">
        <f t="shared" si="15"/>
        <v>0</v>
      </c>
    </row>
    <row r="512" spans="1:10" ht="10.5" customHeight="1" x14ac:dyDescent="0.15">
      <c r="B512" s="152" t="s">
        <v>200</v>
      </c>
      <c r="C512" s="115" t="s">
        <v>161</v>
      </c>
      <c r="D512" s="147">
        <v>0</v>
      </c>
      <c r="E512" s="147">
        <v>0</v>
      </c>
      <c r="F512" s="147">
        <v>0</v>
      </c>
      <c r="G512" s="147">
        <v>0</v>
      </c>
      <c r="H512" s="315">
        <v>0</v>
      </c>
      <c r="I512" s="572">
        <f t="shared" si="15"/>
        <v>0</v>
      </c>
    </row>
    <row r="513" spans="2:9" ht="10.5" customHeight="1" x14ac:dyDescent="0.15">
      <c r="B513" s="152" t="s">
        <v>201</v>
      </c>
      <c r="C513" s="115" t="s">
        <v>162</v>
      </c>
      <c r="D513" s="147">
        <v>0</v>
      </c>
      <c r="E513" s="147">
        <v>0</v>
      </c>
      <c r="F513" s="147">
        <v>0</v>
      </c>
      <c r="G513" s="147">
        <v>0</v>
      </c>
      <c r="H513" s="315">
        <v>0</v>
      </c>
      <c r="I513" s="572">
        <f t="shared" si="15"/>
        <v>0</v>
      </c>
    </row>
    <row r="514" spans="2:9" ht="10.5" customHeight="1" x14ac:dyDescent="0.15">
      <c r="B514" s="152" t="s">
        <v>158</v>
      </c>
      <c r="C514" s="115" t="s">
        <v>464</v>
      </c>
      <c r="D514" s="147">
        <v>0</v>
      </c>
      <c r="E514" s="147">
        <v>0</v>
      </c>
      <c r="F514" s="147">
        <v>0</v>
      </c>
      <c r="G514" s="147">
        <v>0</v>
      </c>
      <c r="H514" s="315">
        <v>0</v>
      </c>
      <c r="I514" s="572">
        <f t="shared" si="15"/>
        <v>0</v>
      </c>
    </row>
    <row r="515" spans="2:9" ht="10.5" customHeight="1" x14ac:dyDescent="0.15">
      <c r="B515" s="152" t="s">
        <v>159</v>
      </c>
      <c r="C515" s="115" t="s">
        <v>465</v>
      </c>
      <c r="D515" s="147">
        <v>0</v>
      </c>
      <c r="E515" s="147">
        <v>0</v>
      </c>
      <c r="F515" s="147">
        <v>0</v>
      </c>
      <c r="G515" s="147">
        <v>0</v>
      </c>
      <c r="H515" s="315">
        <v>0</v>
      </c>
      <c r="I515" s="572">
        <f t="shared" si="15"/>
        <v>0</v>
      </c>
    </row>
    <row r="516" spans="2:9" ht="10.5" customHeight="1" x14ac:dyDescent="0.15">
      <c r="B516" s="152" t="s">
        <v>466</v>
      </c>
      <c r="C516" s="115" t="s">
        <v>468</v>
      </c>
      <c r="D516" s="147">
        <v>0</v>
      </c>
      <c r="E516" s="147">
        <v>0</v>
      </c>
      <c r="F516" s="147">
        <v>0</v>
      </c>
      <c r="G516" s="147">
        <v>0</v>
      </c>
      <c r="H516" s="315">
        <v>0</v>
      </c>
      <c r="I516" s="572">
        <f t="shared" si="15"/>
        <v>0</v>
      </c>
    </row>
    <row r="517" spans="2:9" ht="10.5" customHeight="1" x14ac:dyDescent="0.15">
      <c r="B517" s="152" t="s">
        <v>634</v>
      </c>
      <c r="C517" s="115" t="s">
        <v>165</v>
      </c>
      <c r="D517" s="147">
        <v>0</v>
      </c>
      <c r="E517" s="147">
        <v>0</v>
      </c>
      <c r="F517" s="147">
        <v>0</v>
      </c>
      <c r="G517" s="147">
        <v>0</v>
      </c>
      <c r="H517" s="315">
        <v>0</v>
      </c>
      <c r="I517" s="572">
        <f t="shared" si="15"/>
        <v>0</v>
      </c>
    </row>
    <row r="518" spans="2:9" ht="10.5" customHeight="1" x14ac:dyDescent="0.15">
      <c r="B518" s="152" t="s">
        <v>202</v>
      </c>
      <c r="C518" s="115" t="s">
        <v>171</v>
      </c>
      <c r="D518" s="147">
        <v>0</v>
      </c>
      <c r="E518" s="147">
        <v>0</v>
      </c>
      <c r="F518" s="147">
        <v>0</v>
      </c>
      <c r="G518" s="147">
        <v>0</v>
      </c>
      <c r="H518" s="315">
        <v>0</v>
      </c>
      <c r="I518" s="572">
        <f t="shared" si="15"/>
        <v>0</v>
      </c>
    </row>
    <row r="519" spans="2:9" ht="10.5" customHeight="1" x14ac:dyDescent="0.15">
      <c r="B519" s="152" t="s">
        <v>630</v>
      </c>
      <c r="C519" s="115" t="s">
        <v>172</v>
      </c>
      <c r="D519" s="147">
        <v>0</v>
      </c>
      <c r="E519" s="147">
        <v>0</v>
      </c>
      <c r="F519" s="147">
        <v>0</v>
      </c>
      <c r="G519" s="147">
        <v>0</v>
      </c>
      <c r="H519" s="315">
        <v>0</v>
      </c>
      <c r="I519" s="572">
        <f t="shared" si="15"/>
        <v>0</v>
      </c>
    </row>
    <row r="520" spans="2:9" ht="10.5" customHeight="1" x14ac:dyDescent="0.15">
      <c r="B520" s="652" t="s">
        <v>631</v>
      </c>
      <c r="C520" s="653" t="s">
        <v>173</v>
      </c>
      <c r="D520" s="147">
        <v>0</v>
      </c>
      <c r="E520" s="147">
        <v>0</v>
      </c>
      <c r="F520" s="147">
        <v>0</v>
      </c>
      <c r="G520" s="147">
        <v>0</v>
      </c>
      <c r="H520" s="315">
        <v>0</v>
      </c>
      <c r="I520" s="572">
        <f t="shared" si="15"/>
        <v>0</v>
      </c>
    </row>
    <row r="521" spans="2:9" ht="10.5" customHeight="1" x14ac:dyDescent="0.15">
      <c r="B521" s="152" t="s">
        <v>1584</v>
      </c>
      <c r="C521" s="115" t="s">
        <v>178</v>
      </c>
      <c r="D521" s="147">
        <v>0</v>
      </c>
      <c r="E521" s="147">
        <v>0</v>
      </c>
      <c r="F521" s="147">
        <v>0</v>
      </c>
      <c r="G521" s="147">
        <v>0</v>
      </c>
      <c r="H521" s="315">
        <v>0</v>
      </c>
      <c r="I521" s="572">
        <f t="shared" si="15"/>
        <v>0</v>
      </c>
    </row>
    <row r="522" spans="2:9" ht="10.5" customHeight="1" x14ac:dyDescent="0.15">
      <c r="B522" s="152" t="s">
        <v>174</v>
      </c>
      <c r="C522" s="115" t="s">
        <v>179</v>
      </c>
      <c r="D522" s="147">
        <v>0</v>
      </c>
      <c r="E522" s="147">
        <v>0</v>
      </c>
      <c r="F522" s="147">
        <v>0</v>
      </c>
      <c r="G522" s="147">
        <v>0</v>
      </c>
      <c r="H522" s="315">
        <v>0</v>
      </c>
      <c r="I522" s="572">
        <f t="shared" si="15"/>
        <v>0</v>
      </c>
    </row>
    <row r="523" spans="2:9" ht="10.5" customHeight="1" x14ac:dyDescent="0.15">
      <c r="B523" s="152" t="s">
        <v>175</v>
      </c>
      <c r="C523" s="115" t="s">
        <v>180</v>
      </c>
      <c r="D523" s="147">
        <v>0</v>
      </c>
      <c r="E523" s="147">
        <v>0</v>
      </c>
      <c r="F523" s="147">
        <v>0</v>
      </c>
      <c r="G523" s="147">
        <v>0</v>
      </c>
      <c r="H523" s="315">
        <v>0</v>
      </c>
      <c r="I523" s="572">
        <f t="shared" si="15"/>
        <v>0</v>
      </c>
    </row>
    <row r="524" spans="2:9" ht="10.5" customHeight="1" thickBot="1" x14ac:dyDescent="0.2">
      <c r="B524" s="152" t="s">
        <v>176</v>
      </c>
      <c r="C524" s="115" t="s">
        <v>181</v>
      </c>
      <c r="D524" s="147">
        <v>0</v>
      </c>
      <c r="E524" s="147">
        <v>0</v>
      </c>
      <c r="F524" s="147">
        <v>0</v>
      </c>
      <c r="G524" s="147">
        <v>0</v>
      </c>
      <c r="H524" s="315">
        <v>0</v>
      </c>
      <c r="I524" s="569">
        <f t="shared" si="15"/>
        <v>0</v>
      </c>
    </row>
    <row r="525" spans="2:9" ht="10.5" customHeight="1" thickTop="1" thickBot="1" x14ac:dyDescent="0.2">
      <c r="B525" s="152"/>
      <c r="C525" s="115" t="s">
        <v>672</v>
      </c>
      <c r="D525" s="169">
        <f>SUM(D495:D524)</f>
        <v>0</v>
      </c>
      <c r="E525" s="169">
        <f>SUM(E495:E524)</f>
        <v>0</v>
      </c>
      <c r="F525" s="169">
        <f>SUM(F495:F524)</f>
        <v>0</v>
      </c>
      <c r="G525" s="169">
        <f>SUM(G495:G524)</f>
        <v>0</v>
      </c>
      <c r="H525" s="169">
        <f>SUM(H495:H524)</f>
        <v>0</v>
      </c>
      <c r="I525" s="304">
        <f>G525+H525</f>
        <v>0</v>
      </c>
    </row>
    <row r="526" spans="2:9" ht="10.5" customHeight="1" thickTop="1" thickBot="1" x14ac:dyDescent="0.2">
      <c r="B526" s="115"/>
      <c r="C526" s="115"/>
      <c r="D526" s="14"/>
      <c r="E526" s="14"/>
      <c r="F526" s="14"/>
      <c r="G526" s="14"/>
      <c r="H526" s="305"/>
      <c r="I526" s="305"/>
    </row>
    <row r="527" spans="2:9" ht="10.5" customHeight="1" thickTop="1" thickBot="1" x14ac:dyDescent="0.2">
      <c r="B527" s="115" t="s">
        <v>1501</v>
      </c>
      <c r="D527" s="169">
        <f>D44+D81+D118+D149+D187+D218+D251+D291+D323+D353+D384+D407+D430+D461+D492+D525</f>
        <v>0</v>
      </c>
      <c r="E527" s="169">
        <f>E44+E81+E118+E149+E187+E218+E251+E291+E323+E353+E384+E407+E430+E461+E492+E525</f>
        <v>0</v>
      </c>
      <c r="F527" s="169">
        <f>F44+F81+F118+F149+F187+F218+F251+F291+F323+F353+F384+F407+F430+F461+F492+F525</f>
        <v>0</v>
      </c>
      <c r="G527" s="169">
        <f>G44+G81+G118+G149+G187+G218+G251+G291+G323+G353+G384+G407+G430+G461+G492+G525</f>
        <v>0</v>
      </c>
      <c r="H527" s="304">
        <f>H44+H81+H118+H149+H187+H218+H251+H291+H323+H353+H384+H407+H430+H461+H492+H525</f>
        <v>0</v>
      </c>
      <c r="I527" s="304">
        <f>G527+H527</f>
        <v>0</v>
      </c>
    </row>
    <row r="528" spans="2:9" ht="10.5" customHeight="1" thickTop="1" thickBot="1" x14ac:dyDescent="0.2">
      <c r="D528" s="159"/>
      <c r="E528" s="159"/>
      <c r="F528" s="159"/>
      <c r="G528" s="159"/>
      <c r="H528" s="306"/>
      <c r="I528" s="306"/>
    </row>
    <row r="529" spans="1:9" ht="10.5" customHeight="1" thickTop="1" thickBot="1" x14ac:dyDescent="0.2">
      <c r="B529" s="35" t="s">
        <v>254</v>
      </c>
      <c r="D529" s="169">
        <f>GenFundExp!D1074+GenFundExp2!D527</f>
        <v>0</v>
      </c>
      <c r="E529" s="169">
        <f>GenFundExp!E1074+GenFundExp2!E527</f>
        <v>0</v>
      </c>
      <c r="F529" s="169">
        <f>GenFundExp!F1074+GenFundExp2!F527</f>
        <v>0</v>
      </c>
      <c r="G529" s="169">
        <f>GenFundExp!G1074+GenFundExp2!G527</f>
        <v>0</v>
      </c>
      <c r="H529" s="304">
        <f>GenFundExp!H1074+GenFundExp2!H527</f>
        <v>0</v>
      </c>
      <c r="I529" s="304">
        <f>G529+H529</f>
        <v>0</v>
      </c>
    </row>
    <row r="530" spans="1:9" ht="10.5" customHeight="1" thickTop="1" x14ac:dyDescent="0.15">
      <c r="D530" s="159"/>
      <c r="E530" s="159"/>
      <c r="F530" s="159"/>
      <c r="G530" s="159"/>
      <c r="H530" s="306"/>
      <c r="I530" s="306"/>
    </row>
    <row r="531" spans="1:9" ht="10.5" customHeight="1" x14ac:dyDescent="0.15">
      <c r="A531" s="40" t="s">
        <v>391</v>
      </c>
      <c r="D531" s="159"/>
      <c r="E531" s="159"/>
      <c r="F531" s="159"/>
      <c r="G531" s="159"/>
      <c r="H531" s="306"/>
      <c r="I531" s="306"/>
    </row>
    <row r="532" spans="1:9" ht="10.5" customHeight="1" x14ac:dyDescent="0.15">
      <c r="A532" s="35" t="s">
        <v>736</v>
      </c>
      <c r="D532" s="147">
        <v>0</v>
      </c>
      <c r="E532" s="147">
        <v>0</v>
      </c>
      <c r="F532" s="147">
        <v>0</v>
      </c>
      <c r="G532" s="147">
        <v>0</v>
      </c>
      <c r="H532" s="315">
        <v>0</v>
      </c>
      <c r="I532" s="572">
        <f>SUM(G532+H532)</f>
        <v>0</v>
      </c>
    </row>
    <row r="533" spans="1:9" ht="10.5" customHeight="1" x14ac:dyDescent="0.15">
      <c r="A533" s="35" t="s">
        <v>728</v>
      </c>
      <c r="C533" s="115"/>
      <c r="I533" s="385"/>
    </row>
    <row r="534" spans="1:9" ht="10.5" customHeight="1" x14ac:dyDescent="0.15">
      <c r="B534" s="160" t="s">
        <v>434</v>
      </c>
      <c r="C534" s="115" t="s">
        <v>413</v>
      </c>
      <c r="D534" s="147">
        <v>0</v>
      </c>
      <c r="E534" s="147">
        <v>0</v>
      </c>
      <c r="F534" s="147">
        <v>0</v>
      </c>
      <c r="G534" s="147">
        <v>0</v>
      </c>
      <c r="H534" s="315">
        <v>0</v>
      </c>
      <c r="I534" s="572">
        <f>SUM(G534+H534)</f>
        <v>0</v>
      </c>
    </row>
    <row r="535" spans="1:9" ht="10.5" customHeight="1" x14ac:dyDescent="0.15">
      <c r="B535" s="160" t="s">
        <v>433</v>
      </c>
      <c r="C535" s="115" t="s">
        <v>414</v>
      </c>
      <c r="D535" s="161">
        <v>0</v>
      </c>
      <c r="E535" s="161">
        <v>0</v>
      </c>
      <c r="F535" s="161">
        <v>0</v>
      </c>
      <c r="G535" s="161">
        <v>0</v>
      </c>
      <c r="H535" s="315">
        <v>0</v>
      </c>
      <c r="I535" s="572">
        <f>SUM(G535+H535)</f>
        <v>0</v>
      </c>
    </row>
    <row r="536" spans="1:9" ht="10.5" customHeight="1" x14ac:dyDescent="0.15">
      <c r="A536" s="18" t="s">
        <v>822</v>
      </c>
      <c r="B536" s="160"/>
      <c r="C536" s="115"/>
      <c r="D536" s="161"/>
      <c r="E536" s="161"/>
      <c r="F536" s="161"/>
      <c r="G536" s="161"/>
      <c r="H536" s="315"/>
      <c r="I536" s="572"/>
    </row>
    <row r="537" spans="1:9" ht="10.5" customHeight="1" thickBot="1" x14ac:dyDescent="0.2">
      <c r="B537" s="160"/>
      <c r="C537" s="658" t="s">
        <v>823</v>
      </c>
      <c r="D537" s="661">
        <f>+GenFundREV!D113+GenFundREV!D117+GenFundREV!D118+GenFundREV!D119</f>
        <v>0</v>
      </c>
      <c r="E537" s="661">
        <f>+GenFundREV!E113+GenFundREV!E117+GenFundREV!E118+GenFundREV!E119</f>
        <v>0</v>
      </c>
      <c r="F537" s="661">
        <f>+GenFundREV!F113+GenFundREV!F117+GenFundREV!F118+GenFundREV!F119</f>
        <v>0</v>
      </c>
      <c r="G537" s="661">
        <f>+GenFundREV!G113+GenFundREV!G117+GenFundREV!G118+GenFundREV!G119</f>
        <v>0</v>
      </c>
      <c r="H537" s="661">
        <f>+GenFundREV!H113+GenFundREV!H117+GenFundREV!H118+GenFundREV!H119</f>
        <v>0</v>
      </c>
      <c r="I537" s="661">
        <f>+GenFundREV!I113+GenFundREV!I117+GenFundREV!I118+GenFundREV!I119</f>
        <v>0</v>
      </c>
    </row>
    <row r="538" spans="1:9" ht="10.5" customHeight="1" thickTop="1" thickBot="1" x14ac:dyDescent="0.2">
      <c r="A538" s="35"/>
      <c r="C538" s="115" t="s">
        <v>1275</v>
      </c>
      <c r="D538" s="173">
        <f>SUM(D532:D537)</f>
        <v>0</v>
      </c>
      <c r="E538" s="173">
        <f>SUM(E532:E537)</f>
        <v>0</v>
      </c>
      <c r="F538" s="173">
        <f>SUM(F532:F537)</f>
        <v>0</v>
      </c>
      <c r="G538" s="173">
        <f>SUM(G532:G537)</f>
        <v>0</v>
      </c>
      <c r="H538" s="321">
        <f>SUM(H532:H537)</f>
        <v>0</v>
      </c>
      <c r="I538" s="321">
        <f>G538+H538</f>
        <v>0</v>
      </c>
    </row>
    <row r="539" spans="1:9" ht="10.5" customHeight="1" thickTop="1" thickBot="1" x14ac:dyDescent="0.2">
      <c r="A539" s="35"/>
      <c r="C539" s="115"/>
      <c r="D539" s="14"/>
      <c r="E539" s="14"/>
      <c r="F539" s="14"/>
      <c r="G539" s="14"/>
      <c r="I539" s="385"/>
    </row>
    <row r="540" spans="1:9" ht="10.5" customHeight="1" thickTop="1" thickBot="1" x14ac:dyDescent="0.2">
      <c r="B540" s="35" t="s">
        <v>729</v>
      </c>
      <c r="D540" s="173">
        <f>D529+D538</f>
        <v>0</v>
      </c>
      <c r="E540" s="173">
        <f>E529+E538</f>
        <v>0</v>
      </c>
      <c r="F540" s="173">
        <f>F529+F538</f>
        <v>0</v>
      </c>
      <c r="G540" s="173">
        <f>G529+G538</f>
        <v>0</v>
      </c>
      <c r="H540" s="321">
        <f>H529+H538</f>
        <v>0</v>
      </c>
      <c r="I540" s="321">
        <f>G540+H540</f>
        <v>0</v>
      </c>
    </row>
    <row r="541" spans="1:9" ht="10.5" customHeight="1" thickTop="1" x14ac:dyDescent="0.15">
      <c r="D541" s="159"/>
      <c r="E541" s="159"/>
      <c r="F541" s="159"/>
      <c r="G541" s="159"/>
      <c r="H541" s="306"/>
      <c r="I541" s="306"/>
    </row>
    <row r="542" spans="1:9" ht="10.5" customHeight="1" x14ac:dyDescent="0.15">
      <c r="A542" s="155" t="s">
        <v>110</v>
      </c>
      <c r="C542" s="210" t="s">
        <v>737</v>
      </c>
      <c r="D542" s="159"/>
      <c r="E542" s="159"/>
      <c r="F542" s="159"/>
      <c r="G542" s="159"/>
      <c r="H542" s="306"/>
      <c r="I542" s="306"/>
    </row>
    <row r="543" spans="1:9" ht="10.5" customHeight="1" x14ac:dyDescent="0.15">
      <c r="A543" s="154" t="s">
        <v>1522</v>
      </c>
      <c r="C543" s="115" t="s">
        <v>1516</v>
      </c>
      <c r="D543" s="41">
        <v>0</v>
      </c>
      <c r="E543" s="41">
        <v>0</v>
      </c>
      <c r="F543" s="41">
        <v>0</v>
      </c>
      <c r="G543" s="41">
        <v>0</v>
      </c>
      <c r="H543" s="315">
        <v>0</v>
      </c>
      <c r="I543" s="572">
        <f t="shared" ref="I543:I549" si="16">SUM(G543+H543)</f>
        <v>0</v>
      </c>
    </row>
    <row r="544" spans="1:9" ht="10.5" customHeight="1" x14ac:dyDescent="0.15">
      <c r="A544" s="154" t="s">
        <v>1523</v>
      </c>
      <c r="C544" s="115" t="s">
        <v>1517</v>
      </c>
      <c r="D544" s="41">
        <v>0</v>
      </c>
      <c r="E544" s="41">
        <v>0</v>
      </c>
      <c r="F544" s="41">
        <v>0</v>
      </c>
      <c r="G544" s="41">
        <v>0</v>
      </c>
      <c r="H544" s="315">
        <v>0</v>
      </c>
      <c r="I544" s="572">
        <f t="shared" si="16"/>
        <v>0</v>
      </c>
    </row>
    <row r="545" spans="1:9" ht="10.5" customHeight="1" x14ac:dyDescent="0.15">
      <c r="A545" s="690">
        <v>9315</v>
      </c>
      <c r="B545" s="309"/>
      <c r="C545" s="312" t="s">
        <v>892</v>
      </c>
      <c r="D545" s="41">
        <v>0</v>
      </c>
      <c r="E545" s="41">
        <v>0</v>
      </c>
      <c r="F545" s="41">
        <v>0</v>
      </c>
      <c r="G545" s="41">
        <v>0</v>
      </c>
      <c r="H545" s="315">
        <v>0</v>
      </c>
      <c r="I545" s="572">
        <f t="shared" si="16"/>
        <v>0</v>
      </c>
    </row>
    <row r="546" spans="1:9" ht="10.5" customHeight="1" x14ac:dyDescent="0.15">
      <c r="A546" s="154" t="s">
        <v>1524</v>
      </c>
      <c r="C546" s="115" t="s">
        <v>1518</v>
      </c>
      <c r="D546" s="41">
        <v>0</v>
      </c>
      <c r="E546" s="41">
        <v>0</v>
      </c>
      <c r="F546" s="41">
        <v>0</v>
      </c>
      <c r="G546" s="41">
        <v>0</v>
      </c>
      <c r="H546" s="315">
        <v>0</v>
      </c>
      <c r="I546" s="572">
        <f t="shared" si="16"/>
        <v>0</v>
      </c>
    </row>
    <row r="547" spans="1:9" ht="10.5" hidden="1" customHeight="1" x14ac:dyDescent="0.15">
      <c r="A547" s="681">
        <v>9330</v>
      </c>
      <c r="B547" s="682"/>
      <c r="C547" s="683" t="s">
        <v>36</v>
      </c>
      <c r="D547" s="41">
        <v>0</v>
      </c>
      <c r="E547" s="41">
        <v>0</v>
      </c>
      <c r="F547" s="41">
        <v>0</v>
      </c>
      <c r="G547" s="41">
        <v>0</v>
      </c>
      <c r="H547" s="315">
        <v>0</v>
      </c>
      <c r="I547" s="572">
        <f t="shared" si="16"/>
        <v>0</v>
      </c>
    </row>
    <row r="548" spans="1:9" ht="10.5" customHeight="1" x14ac:dyDescent="0.15">
      <c r="A548" s="154" t="s">
        <v>1525</v>
      </c>
      <c r="C548" s="115" t="s">
        <v>1519</v>
      </c>
      <c r="D548" s="41">
        <v>0</v>
      </c>
      <c r="E548" s="41">
        <v>0</v>
      </c>
      <c r="F548" s="41">
        <v>0</v>
      </c>
      <c r="G548" s="41">
        <v>0</v>
      </c>
      <c r="H548" s="315">
        <v>0</v>
      </c>
      <c r="I548" s="572">
        <f t="shared" si="16"/>
        <v>0</v>
      </c>
    </row>
    <row r="549" spans="1:9" ht="10.5" customHeight="1" thickBot="1" x14ac:dyDescent="0.2">
      <c r="A549" s="154" t="s">
        <v>1526</v>
      </c>
      <c r="C549" s="115" t="s">
        <v>1520</v>
      </c>
      <c r="D549" s="150">
        <v>0</v>
      </c>
      <c r="E549" s="150">
        <v>0</v>
      </c>
      <c r="F549" s="150">
        <v>0</v>
      </c>
      <c r="G549" s="150">
        <v>0</v>
      </c>
      <c r="H549" s="315">
        <v>0</v>
      </c>
      <c r="I549" s="572">
        <f t="shared" si="16"/>
        <v>0</v>
      </c>
    </row>
    <row r="550" spans="1:9" ht="10.5" customHeight="1" thickTop="1" thickBot="1" x14ac:dyDescent="0.2">
      <c r="A550" s="149"/>
      <c r="C550" s="115" t="s">
        <v>724</v>
      </c>
      <c r="D550" s="169">
        <f>SUM(D543:D549)</f>
        <v>0</v>
      </c>
      <c r="E550" s="169">
        <f>SUM(E543:E549)</f>
        <v>0</v>
      </c>
      <c r="F550" s="169">
        <f>SUM(F543:F549)</f>
        <v>0</v>
      </c>
      <c r="G550" s="169">
        <f>SUM(G543:G549)</f>
        <v>0</v>
      </c>
      <c r="H550" s="304">
        <f>SUM(H543:H549)</f>
        <v>0</v>
      </c>
      <c r="I550" s="304">
        <f>G550+H550</f>
        <v>0</v>
      </c>
    </row>
    <row r="551" spans="1:9" ht="10.5" customHeight="1" thickTop="1" thickBot="1" x14ac:dyDescent="0.2">
      <c r="A551" s="149"/>
      <c r="C551" s="115"/>
      <c r="D551" s="159"/>
      <c r="E551" s="159"/>
      <c r="F551" s="159"/>
      <c r="G551" s="159"/>
      <c r="H551" s="308"/>
      <c r="I551" s="570"/>
    </row>
    <row r="552" spans="1:9" ht="10.5" customHeight="1" thickBot="1" x14ac:dyDescent="0.2">
      <c r="B552" s="35" t="s">
        <v>723</v>
      </c>
      <c r="D552" s="171">
        <f>D540+D550</f>
        <v>0</v>
      </c>
      <c r="E552" s="171">
        <f>E540+E550</f>
        <v>0</v>
      </c>
      <c r="F552" s="171">
        <f>F540+F550</f>
        <v>0</v>
      </c>
      <c r="G552" s="171">
        <f>G540+G550</f>
        <v>0</v>
      </c>
      <c r="H552" s="322">
        <f>H540+H550</f>
        <v>0</v>
      </c>
      <c r="I552" s="322">
        <f>G552+H552</f>
        <v>0</v>
      </c>
    </row>
    <row r="553" spans="1:9" ht="10.5" customHeight="1" x14ac:dyDescent="0.15">
      <c r="A553" s="149"/>
      <c r="C553" s="115" t="s">
        <v>725</v>
      </c>
      <c r="D553" s="159"/>
      <c r="E553" s="159"/>
      <c r="F553" s="159"/>
      <c r="G553" s="159"/>
      <c r="H553" s="308"/>
      <c r="I553" s="570"/>
    </row>
    <row r="554" spans="1:9" ht="10.5" customHeight="1" x14ac:dyDescent="0.15">
      <c r="A554" s="149"/>
      <c r="C554" s="115"/>
      <c r="D554" s="159"/>
      <c r="E554" s="159"/>
      <c r="F554" s="159"/>
      <c r="G554" s="159"/>
      <c r="H554" s="308"/>
      <c r="I554" s="570"/>
    </row>
    <row r="555" spans="1:9" ht="10.5" customHeight="1" x14ac:dyDescent="0.15">
      <c r="C555" s="210" t="s">
        <v>738</v>
      </c>
      <c r="D555" s="159"/>
      <c r="E555" s="159"/>
      <c r="F555" s="159"/>
      <c r="G555" s="159"/>
      <c r="H555" s="308"/>
      <c r="I555" s="570"/>
    </row>
    <row r="556" spans="1:9" x14ac:dyDescent="0.15">
      <c r="A556" s="160" t="s">
        <v>633</v>
      </c>
      <c r="C556" s="197" t="s">
        <v>1504</v>
      </c>
      <c r="D556" s="41">
        <v>0</v>
      </c>
      <c r="E556" s="41">
        <v>0</v>
      </c>
      <c r="F556" s="41">
        <v>0</v>
      </c>
      <c r="G556" s="41">
        <v>0</v>
      </c>
      <c r="H556" s="307">
        <v>0</v>
      </c>
      <c r="I556" s="575">
        <f>G556+H556</f>
        <v>0</v>
      </c>
    </row>
    <row r="557" spans="1:9" ht="10.5" customHeight="1" thickBot="1" x14ac:dyDescent="0.2">
      <c r="C557" s="201" t="s">
        <v>1503</v>
      </c>
      <c r="I557" s="385"/>
    </row>
    <row r="558" spans="1:9" ht="10.5" customHeight="1" thickBot="1" x14ac:dyDescent="0.2">
      <c r="B558" s="35" t="s">
        <v>730</v>
      </c>
      <c r="D558" s="212">
        <f>D552+D556</f>
        <v>0</v>
      </c>
      <c r="E558" s="212">
        <f>E552+E556</f>
        <v>0</v>
      </c>
      <c r="F558" s="212">
        <f>F552+F556</f>
        <v>0</v>
      </c>
      <c r="G558" s="212">
        <f>G552+G556</f>
        <v>0</v>
      </c>
      <c r="H558" s="323">
        <f>H552+H556</f>
        <v>0</v>
      </c>
      <c r="I558" s="323">
        <f>G558+H558</f>
        <v>0</v>
      </c>
    </row>
    <row r="559" spans="1:9" ht="10.5" customHeight="1" thickBot="1" x14ac:dyDescent="0.2">
      <c r="C559" s="115"/>
      <c r="D559" s="159"/>
      <c r="E559" s="159"/>
      <c r="F559" s="159"/>
      <c r="G559" s="159"/>
      <c r="H559" s="308"/>
      <c r="I559" s="570"/>
    </row>
    <row r="560" spans="1:9" ht="10.5" customHeight="1" thickTop="1" thickBot="1" x14ac:dyDescent="0.2">
      <c r="C560" s="172" t="s">
        <v>726</v>
      </c>
      <c r="D560" s="173">
        <f>GenFundREV!D110</f>
        <v>0</v>
      </c>
      <c r="E560" s="173">
        <f>GenFundREV!E110</f>
        <v>0</v>
      </c>
      <c r="F560" s="173">
        <f>GenFundREV!F110</f>
        <v>0</v>
      </c>
      <c r="G560" s="173">
        <f>GenFundREV!G110</f>
        <v>0</v>
      </c>
      <c r="H560" s="321">
        <f>GenFundREV!H110</f>
        <v>0</v>
      </c>
      <c r="I560" s="321">
        <f>G560+H560</f>
        <v>0</v>
      </c>
    </row>
    <row r="561" spans="3:9" ht="10.5" customHeight="1" thickTop="1" x14ac:dyDescent="0.15">
      <c r="D561" s="605"/>
      <c r="E561" s="605"/>
      <c r="F561" s="605"/>
      <c r="G561" s="605"/>
      <c r="H561" s="305"/>
      <c r="I561" s="305"/>
    </row>
    <row r="562" spans="3:9" ht="10.5" customHeight="1" x14ac:dyDescent="0.15">
      <c r="C562" s="172" t="s">
        <v>727</v>
      </c>
      <c r="D562" s="167">
        <f>D558-D560</f>
        <v>0</v>
      </c>
      <c r="E562" s="167">
        <f>E558-E560</f>
        <v>0</v>
      </c>
      <c r="F562" s="167">
        <f>F558-F560</f>
        <v>0</v>
      </c>
      <c r="G562" s="167">
        <f>G558-G560</f>
        <v>0</v>
      </c>
      <c r="H562" s="385">
        <f>H558-H560</f>
        <v>0</v>
      </c>
      <c r="I562" s="385">
        <f>G562+H562</f>
        <v>0</v>
      </c>
    </row>
    <row r="563" spans="3:9" ht="10.5" customHeight="1" x14ac:dyDescent="0.15">
      <c r="I563" s="385"/>
    </row>
    <row r="564" spans="3:9" ht="10.5" customHeight="1" x14ac:dyDescent="0.15">
      <c r="I564" s="385"/>
    </row>
    <row r="565" spans="3:9" ht="10.5" customHeight="1" x14ac:dyDescent="0.15">
      <c r="C565" s="115"/>
    </row>
  </sheetData>
  <sheetProtection password="CB03" sheet="1" formatCells="0" formatColumns="0" formatRows="0"/>
  <phoneticPr fontId="15" type="noConversion"/>
  <pageMargins left="0.75" right="0.75" top="1" bottom="1" header="0.5" footer="0.5"/>
  <pageSetup scale="62" firstPageNumber="19" fitToHeight="0" orientation="portrait" horizontalDpi="300" verticalDpi="300" r:id="rId1"/>
  <headerFooter alignWithMargins="0">
    <oddFooter>&amp;LCDE, Public Scool Finance Unit&amp;C&amp;P&amp;RRevised  March, 2009</oddFooter>
  </headerFooter>
  <rowBreaks count="1" manualBreakCount="1">
    <brk id="299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Normal="100" workbookViewId="0">
      <selection activeCell="D4" sqref="D4"/>
    </sheetView>
  </sheetViews>
  <sheetFormatPr defaultRowHeight="10.5" x14ac:dyDescent="0.15"/>
  <cols>
    <col min="1" max="1" width="10" style="490" customWidth="1"/>
    <col min="2" max="2" width="5" style="424" bestFit="1" customWidth="1"/>
    <col min="3" max="3" width="70.83203125" style="423" customWidth="1"/>
    <col min="4" max="4" width="15.83203125" style="423" customWidth="1"/>
    <col min="5" max="5" width="17.33203125" style="423" customWidth="1"/>
    <col min="6" max="6" width="17.1640625" style="423" customWidth="1"/>
    <col min="7" max="7" width="18.33203125" style="423" customWidth="1"/>
    <col min="8" max="8" width="18.83203125" style="423" customWidth="1"/>
    <col min="9" max="9" width="20.5" style="423" customWidth="1"/>
    <col min="10" max="16384" width="9.33203125" style="423"/>
  </cols>
  <sheetData>
    <row r="1" spans="1:9" x14ac:dyDescent="0.15">
      <c r="A1" s="423" t="s">
        <v>106</v>
      </c>
      <c r="C1" s="425">
        <f>+'Page 1 - FY2014-15'!B5</f>
        <v>0</v>
      </c>
      <c r="D1" s="138" t="s">
        <v>1586</v>
      </c>
      <c r="E1" s="428">
        <f>+'Page 1 - FY2014-15'!F7</f>
        <v>0</v>
      </c>
      <c r="G1" s="485" t="s">
        <v>1588</v>
      </c>
    </row>
    <row r="2" spans="1:9" ht="15.75" x14ac:dyDescent="0.25">
      <c r="A2" s="487" t="s">
        <v>545</v>
      </c>
      <c r="B2" s="488"/>
      <c r="C2" s="489"/>
    </row>
    <row r="3" spans="1:9" ht="31.5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6.25" customHeight="1" thickBot="1" x14ac:dyDescent="0.2">
      <c r="D4" s="491"/>
      <c r="E4" s="491"/>
      <c r="F4" s="491"/>
      <c r="G4" s="491"/>
      <c r="H4" s="492" t="s">
        <v>193</v>
      </c>
      <c r="I4" s="251" t="s">
        <v>192</v>
      </c>
    </row>
    <row r="5" spans="1:9" ht="11.25" thickBot="1" x14ac:dyDescent="0.2">
      <c r="A5" s="493" t="s">
        <v>1593</v>
      </c>
      <c r="B5" s="494" t="s">
        <v>1589</v>
      </c>
      <c r="C5" s="495"/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171">
        <f>SUM(G5+H5)</f>
        <v>0</v>
      </c>
    </row>
    <row r="6" spans="1:9" x14ac:dyDescent="0.15">
      <c r="A6" s="496" t="s">
        <v>1592</v>
      </c>
      <c r="B6" s="497" t="s">
        <v>1594</v>
      </c>
      <c r="D6" s="498"/>
      <c r="E6" s="498"/>
      <c r="F6" s="498"/>
      <c r="G6" s="498"/>
      <c r="H6" s="498"/>
      <c r="I6" s="159"/>
    </row>
    <row r="7" spans="1:9" x14ac:dyDescent="0.15">
      <c r="A7" s="425" t="s">
        <v>1595</v>
      </c>
      <c r="B7" s="499" t="s">
        <v>1159</v>
      </c>
      <c r="C7" s="138" t="s">
        <v>256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564">
        <f t="shared" ref="I7:I43" si="0">SUM(G7+H7)</f>
        <v>0</v>
      </c>
    </row>
    <row r="8" spans="1:9" x14ac:dyDescent="0.15">
      <c r="A8" s="425" t="s">
        <v>1596</v>
      </c>
      <c r="B8" s="499" t="s">
        <v>1160</v>
      </c>
      <c r="C8" s="138" t="s">
        <v>257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 t="shared" si="0"/>
        <v>0</v>
      </c>
    </row>
    <row r="9" spans="1:9" x14ac:dyDescent="0.15">
      <c r="A9" s="425" t="s">
        <v>1597</v>
      </c>
      <c r="B9" s="499" t="s">
        <v>1161</v>
      </c>
      <c r="C9" s="138" t="s">
        <v>258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si="0"/>
        <v>0</v>
      </c>
    </row>
    <row r="10" spans="1:9" x14ac:dyDescent="0.15">
      <c r="A10" s="425" t="s">
        <v>1598</v>
      </c>
      <c r="B10" s="499" t="s">
        <v>1228</v>
      </c>
      <c r="C10" s="138" t="s">
        <v>558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425" t="s">
        <v>255</v>
      </c>
      <c r="B11" s="499" t="s">
        <v>1229</v>
      </c>
      <c r="C11" s="138" t="s">
        <v>559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425" t="s">
        <v>1599</v>
      </c>
      <c r="B12" s="499" t="s">
        <v>1230</v>
      </c>
      <c r="C12" s="138" t="s">
        <v>560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425" t="s">
        <v>1600</v>
      </c>
      <c r="B13" s="499" t="s">
        <v>1231</v>
      </c>
      <c r="C13" s="138" t="s">
        <v>561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425" t="s">
        <v>599</v>
      </c>
      <c r="B14" s="499" t="s">
        <v>1232</v>
      </c>
      <c r="C14" s="138" t="s">
        <v>604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425" t="s">
        <v>600</v>
      </c>
      <c r="B15" s="499" t="s">
        <v>1240</v>
      </c>
      <c r="C15" s="138" t="s">
        <v>613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425" t="s">
        <v>601</v>
      </c>
      <c r="B16" s="499" t="s">
        <v>1244</v>
      </c>
      <c r="C16" s="138" t="s">
        <v>605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x14ac:dyDescent="0.15">
      <c r="A17" s="425" t="s">
        <v>602</v>
      </c>
      <c r="B17" s="499" t="s">
        <v>1245</v>
      </c>
      <c r="C17" s="138" t="s">
        <v>606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9" x14ac:dyDescent="0.15">
      <c r="A18" s="425" t="s">
        <v>603</v>
      </c>
      <c r="B18" s="499" t="s">
        <v>1241</v>
      </c>
      <c r="C18" s="138" t="s">
        <v>607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564">
        <f t="shared" si="0"/>
        <v>0</v>
      </c>
    </row>
    <row r="19" spans="1:9" x14ac:dyDescent="0.15">
      <c r="A19" s="500" t="s">
        <v>701</v>
      </c>
      <c r="B19" s="499" t="s">
        <v>1242</v>
      </c>
      <c r="C19" s="138" t="s">
        <v>608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564">
        <f t="shared" si="0"/>
        <v>0</v>
      </c>
    </row>
    <row r="20" spans="1:9" x14ac:dyDescent="0.15">
      <c r="A20" s="425" t="s">
        <v>609</v>
      </c>
      <c r="B20" s="499" t="s">
        <v>1247</v>
      </c>
      <c r="C20" s="138" t="s">
        <v>442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564">
        <f t="shared" si="0"/>
        <v>0</v>
      </c>
    </row>
    <row r="21" spans="1:9" x14ac:dyDescent="0.15">
      <c r="A21" s="425" t="s">
        <v>610</v>
      </c>
      <c r="B21" s="499" t="s">
        <v>1248</v>
      </c>
      <c r="C21" s="138" t="s">
        <v>611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564">
        <f t="shared" si="0"/>
        <v>0</v>
      </c>
    </row>
    <row r="22" spans="1:9" x14ac:dyDescent="0.15">
      <c r="A22" s="425" t="s">
        <v>612</v>
      </c>
      <c r="B22" s="499" t="s">
        <v>1249</v>
      </c>
      <c r="C22" s="138" t="s">
        <v>528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564">
        <f t="shared" si="0"/>
        <v>0</v>
      </c>
    </row>
    <row r="23" spans="1:9" x14ac:dyDescent="0.15">
      <c r="A23" s="425" t="s">
        <v>614</v>
      </c>
      <c r="B23" s="499" t="s">
        <v>1250</v>
      </c>
      <c r="C23" s="138" t="s">
        <v>521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564">
        <f t="shared" si="0"/>
        <v>0</v>
      </c>
    </row>
    <row r="24" spans="1:9" x14ac:dyDescent="0.15">
      <c r="A24" s="425" t="s">
        <v>522</v>
      </c>
      <c r="B24" s="499" t="s">
        <v>1251</v>
      </c>
      <c r="C24" s="138" t="s">
        <v>523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564">
        <f t="shared" si="0"/>
        <v>0</v>
      </c>
    </row>
    <row r="25" spans="1:9" x14ac:dyDescent="0.15">
      <c r="A25" s="425" t="s">
        <v>524</v>
      </c>
      <c r="B25" s="499" t="s">
        <v>1252</v>
      </c>
      <c r="C25" s="138" t="s">
        <v>525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564">
        <f t="shared" si="0"/>
        <v>0</v>
      </c>
    </row>
    <row r="26" spans="1:9" x14ac:dyDescent="0.15">
      <c r="A26" s="425" t="s">
        <v>526</v>
      </c>
      <c r="B26" s="499" t="s">
        <v>1253</v>
      </c>
      <c r="C26" s="138" t="s">
        <v>527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si="0"/>
        <v>0</v>
      </c>
    </row>
    <row r="27" spans="1:9" x14ac:dyDescent="0.15">
      <c r="A27" s="425" t="s">
        <v>1602</v>
      </c>
      <c r="B27" s="499" t="s">
        <v>1254</v>
      </c>
      <c r="C27" s="138" t="s">
        <v>443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0"/>
        <v>0</v>
      </c>
    </row>
    <row r="28" spans="1:9" x14ac:dyDescent="0.15">
      <c r="A28" s="425" t="s">
        <v>529</v>
      </c>
      <c r="B28" s="499" t="s">
        <v>1255</v>
      </c>
      <c r="C28" s="138" t="s">
        <v>530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0"/>
        <v>0</v>
      </c>
    </row>
    <row r="29" spans="1:9" x14ac:dyDescent="0.15">
      <c r="A29" s="425" t="s">
        <v>113</v>
      </c>
      <c r="B29" s="499" t="s">
        <v>1260</v>
      </c>
      <c r="C29" s="138" t="s">
        <v>531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0"/>
        <v>0</v>
      </c>
    </row>
    <row r="30" spans="1:9" x14ac:dyDescent="0.15">
      <c r="A30" s="425" t="s">
        <v>532</v>
      </c>
      <c r="B30" s="499" t="s">
        <v>1261</v>
      </c>
      <c r="C30" s="138" t="s">
        <v>533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0"/>
        <v>0</v>
      </c>
    </row>
    <row r="31" spans="1:9" x14ac:dyDescent="0.15">
      <c r="A31" s="425">
        <v>1800</v>
      </c>
      <c r="B31" s="499" t="s">
        <v>1262</v>
      </c>
      <c r="C31" s="138" t="s">
        <v>444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0"/>
        <v>0</v>
      </c>
    </row>
    <row r="32" spans="1:9" x14ac:dyDescent="0.15">
      <c r="A32" s="425">
        <v>1850</v>
      </c>
      <c r="B32" s="499" t="s">
        <v>1263</v>
      </c>
      <c r="C32" s="138" t="s">
        <v>445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 t="shared" si="0"/>
        <v>0</v>
      </c>
    </row>
    <row r="33" spans="1:9" x14ac:dyDescent="0.15">
      <c r="A33" s="425" t="s">
        <v>577</v>
      </c>
      <c r="B33" s="499" t="s">
        <v>1266</v>
      </c>
      <c r="C33" s="138" t="s">
        <v>578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si="0"/>
        <v>0</v>
      </c>
    </row>
    <row r="34" spans="1:9" x14ac:dyDescent="0.15">
      <c r="A34" s="500" t="s">
        <v>505</v>
      </c>
      <c r="B34" s="499" t="s">
        <v>1267</v>
      </c>
      <c r="C34" s="138" t="s">
        <v>508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564">
        <f t="shared" si="0"/>
        <v>0</v>
      </c>
    </row>
    <row r="35" spans="1:9" x14ac:dyDescent="0.15">
      <c r="A35" s="500" t="s">
        <v>506</v>
      </c>
      <c r="B35" s="499" t="s">
        <v>1268</v>
      </c>
      <c r="C35" s="138" t="s">
        <v>509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 t="shared" si="0"/>
        <v>0</v>
      </c>
    </row>
    <row r="36" spans="1:9" x14ac:dyDescent="0.15">
      <c r="A36" s="500" t="s">
        <v>507</v>
      </c>
      <c r="B36" s="499" t="s">
        <v>1269</v>
      </c>
      <c r="C36" s="138" t="s">
        <v>512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si="0"/>
        <v>0</v>
      </c>
    </row>
    <row r="37" spans="1:9" x14ac:dyDescent="0.15">
      <c r="A37" s="425" t="s">
        <v>1603</v>
      </c>
      <c r="B37" s="499" t="s">
        <v>1270</v>
      </c>
      <c r="C37" s="138" t="s">
        <v>446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0"/>
        <v>0</v>
      </c>
    </row>
    <row r="38" spans="1:9" x14ac:dyDescent="0.15">
      <c r="A38" s="500" t="s">
        <v>756</v>
      </c>
      <c r="B38" s="499" t="s">
        <v>1271</v>
      </c>
      <c r="C38" s="138" t="s">
        <v>447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0"/>
        <v>0</v>
      </c>
    </row>
    <row r="39" spans="1:9" x14ac:dyDescent="0.15">
      <c r="A39" s="500" t="s">
        <v>757</v>
      </c>
      <c r="B39" s="499" t="s">
        <v>1272</v>
      </c>
      <c r="C39" s="138" t="s">
        <v>448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0"/>
        <v>0</v>
      </c>
    </row>
    <row r="40" spans="1:9" x14ac:dyDescent="0.15">
      <c r="A40" s="500" t="s">
        <v>513</v>
      </c>
      <c r="B40" s="499" t="s">
        <v>1273</v>
      </c>
      <c r="C40" s="138" t="s">
        <v>514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 t="shared" si="0"/>
        <v>0</v>
      </c>
    </row>
    <row r="41" spans="1:9" x14ac:dyDescent="0.15">
      <c r="A41" s="500" t="s">
        <v>758</v>
      </c>
      <c r="B41" s="499" t="s">
        <v>1274</v>
      </c>
      <c r="C41" s="138" t="s">
        <v>449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0"/>
        <v>0</v>
      </c>
    </row>
    <row r="42" spans="1:9" x14ac:dyDescent="0.15">
      <c r="A42" s="425" t="s">
        <v>1604</v>
      </c>
      <c r="B42" s="499" t="s">
        <v>252</v>
      </c>
      <c r="C42" s="138" t="s">
        <v>450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 t="shared" si="0"/>
        <v>0</v>
      </c>
    </row>
    <row r="43" spans="1:9" x14ac:dyDescent="0.15">
      <c r="B43" s="499" t="s">
        <v>253</v>
      </c>
      <c r="C43" s="138" t="s">
        <v>702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 t="shared" si="0"/>
        <v>0</v>
      </c>
    </row>
    <row r="44" spans="1:9" ht="11.25" thickBot="1" x14ac:dyDescent="0.2">
      <c r="B44" s="501"/>
      <c r="C44" s="138"/>
      <c r="D44" s="14"/>
      <c r="E44" s="14"/>
      <c r="F44" s="14"/>
      <c r="G44" s="14"/>
      <c r="H44" s="14"/>
      <c r="I44" s="563"/>
    </row>
    <row r="45" spans="1:9" ht="12" thickTop="1" thickBot="1" x14ac:dyDescent="0.2">
      <c r="B45" s="502" t="s">
        <v>1276</v>
      </c>
      <c r="C45" s="138" t="s">
        <v>516</v>
      </c>
      <c r="D45" s="169">
        <f t="shared" ref="D45:I45" si="1">SUM(D7:D43)</f>
        <v>0</v>
      </c>
      <c r="E45" s="169">
        <f t="shared" si="1"/>
        <v>0</v>
      </c>
      <c r="F45" s="169">
        <f t="shared" si="1"/>
        <v>0</v>
      </c>
      <c r="G45" s="169">
        <f t="shared" si="1"/>
        <v>0</v>
      </c>
      <c r="H45" s="169">
        <f t="shared" si="1"/>
        <v>0</v>
      </c>
      <c r="I45" s="169">
        <f t="shared" si="1"/>
        <v>0</v>
      </c>
    </row>
    <row r="46" spans="1:9" ht="11.25" thickTop="1" x14ac:dyDescent="0.15">
      <c r="B46" s="501"/>
      <c r="C46" s="138"/>
      <c r="D46" s="198"/>
      <c r="E46" s="198"/>
      <c r="F46" s="198"/>
      <c r="G46" s="198"/>
      <c r="I46" s="167"/>
    </row>
    <row r="47" spans="1:9" ht="11.25" thickBot="1" x14ac:dyDescent="0.2">
      <c r="B47" s="497" t="s">
        <v>94</v>
      </c>
      <c r="D47" s="498"/>
      <c r="E47" s="498"/>
      <c r="F47" s="498"/>
      <c r="G47" s="498"/>
      <c r="H47" s="498"/>
      <c r="I47" s="159"/>
    </row>
    <row r="48" spans="1:9" ht="12" thickTop="1" thickBot="1" x14ac:dyDescent="0.2">
      <c r="A48" s="425" t="s">
        <v>95</v>
      </c>
      <c r="B48" s="502" t="s">
        <v>1277</v>
      </c>
      <c r="C48" s="138" t="s">
        <v>451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169">
        <f>SUM(G48+H48)</f>
        <v>0</v>
      </c>
    </row>
    <row r="49" spans="1:9" ht="11.25" thickTop="1" x14ac:dyDescent="0.15">
      <c r="A49" s="425"/>
      <c r="B49" s="501"/>
      <c r="C49" s="138"/>
      <c r="D49" s="14"/>
      <c r="E49" s="14"/>
      <c r="F49" s="14"/>
      <c r="G49" s="14"/>
      <c r="I49" s="167"/>
    </row>
    <row r="50" spans="1:9" x14ac:dyDescent="0.15">
      <c r="B50" s="497" t="s">
        <v>96</v>
      </c>
      <c r="D50" s="498"/>
      <c r="E50" s="498"/>
      <c r="F50" s="498"/>
      <c r="G50" s="498"/>
      <c r="H50" s="498"/>
      <c r="I50" s="159"/>
    </row>
    <row r="51" spans="1:9" x14ac:dyDescent="0.15">
      <c r="A51" s="425" t="s">
        <v>97</v>
      </c>
      <c r="B51" s="502" t="s">
        <v>1278</v>
      </c>
      <c r="C51" s="138" t="s">
        <v>452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564">
        <f t="shared" ref="I51:I72" si="2">SUM(G51+H51)</f>
        <v>0</v>
      </c>
    </row>
    <row r="52" spans="1:9" x14ac:dyDescent="0.15">
      <c r="A52" s="500" t="s">
        <v>759</v>
      </c>
      <c r="B52" s="502" t="s">
        <v>1279</v>
      </c>
      <c r="C52" s="138" t="s">
        <v>453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64">
        <f t="shared" si="2"/>
        <v>0</v>
      </c>
    </row>
    <row r="53" spans="1:9" x14ac:dyDescent="0.15">
      <c r="A53" s="500" t="s">
        <v>760</v>
      </c>
      <c r="B53" s="499" t="s">
        <v>1280</v>
      </c>
      <c r="C53" s="138" t="s">
        <v>454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64">
        <f t="shared" si="2"/>
        <v>0</v>
      </c>
    </row>
    <row r="54" spans="1:9" x14ac:dyDescent="0.15">
      <c r="A54" s="425" t="s">
        <v>579</v>
      </c>
      <c r="B54" s="499" t="s">
        <v>1281</v>
      </c>
      <c r="C54" s="138" t="s">
        <v>581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564">
        <f t="shared" si="2"/>
        <v>0</v>
      </c>
    </row>
    <row r="55" spans="1:9" x14ac:dyDescent="0.15">
      <c r="A55" s="425" t="s">
        <v>580</v>
      </c>
      <c r="B55" s="499" t="s">
        <v>1282</v>
      </c>
      <c r="C55" s="138" t="s">
        <v>582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564">
        <f t="shared" si="2"/>
        <v>0</v>
      </c>
    </row>
    <row r="56" spans="1:9" x14ac:dyDescent="0.15">
      <c r="A56" s="425" t="s">
        <v>534</v>
      </c>
      <c r="B56" s="499" t="s">
        <v>1287</v>
      </c>
      <c r="C56" s="138" t="s">
        <v>535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564">
        <f t="shared" si="2"/>
        <v>0</v>
      </c>
    </row>
    <row r="57" spans="1:9" x14ac:dyDescent="0.15">
      <c r="A57" s="425" t="s">
        <v>98</v>
      </c>
      <c r="B57" s="499" t="s">
        <v>1288</v>
      </c>
      <c r="C57" s="138" t="s">
        <v>455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564">
        <f t="shared" si="2"/>
        <v>0</v>
      </c>
    </row>
    <row r="58" spans="1:9" x14ac:dyDescent="0.15">
      <c r="A58" s="425" t="s">
        <v>99</v>
      </c>
      <c r="B58" s="499" t="s">
        <v>1289</v>
      </c>
      <c r="C58" s="138" t="s">
        <v>456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564">
        <f t="shared" si="2"/>
        <v>0</v>
      </c>
    </row>
    <row r="59" spans="1:9" x14ac:dyDescent="0.15">
      <c r="A59" s="425" t="s">
        <v>100</v>
      </c>
      <c r="B59" s="499" t="s">
        <v>1290</v>
      </c>
      <c r="C59" s="138" t="s">
        <v>457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564">
        <f t="shared" si="2"/>
        <v>0</v>
      </c>
    </row>
    <row r="60" spans="1:9" x14ac:dyDescent="0.15">
      <c r="A60" s="425" t="s">
        <v>101</v>
      </c>
      <c r="B60" s="499" t="s">
        <v>1291</v>
      </c>
      <c r="C60" s="138" t="s">
        <v>458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564">
        <f t="shared" si="2"/>
        <v>0</v>
      </c>
    </row>
    <row r="61" spans="1:9" x14ac:dyDescent="0.15">
      <c r="A61" s="425" t="s">
        <v>102</v>
      </c>
      <c r="B61" s="499" t="s">
        <v>1292</v>
      </c>
      <c r="C61" s="138" t="s">
        <v>459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564">
        <f t="shared" si="2"/>
        <v>0</v>
      </c>
    </row>
    <row r="62" spans="1:9" x14ac:dyDescent="0.15">
      <c r="A62" s="425" t="s">
        <v>597</v>
      </c>
      <c r="B62" s="503" t="s">
        <v>1293</v>
      </c>
      <c r="C62" s="138" t="s">
        <v>598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564">
        <f t="shared" si="2"/>
        <v>0</v>
      </c>
    </row>
    <row r="63" spans="1:9" x14ac:dyDescent="0.15">
      <c r="A63" s="500" t="s">
        <v>761</v>
      </c>
      <c r="B63" s="499" t="s">
        <v>1294</v>
      </c>
      <c r="C63" s="138" t="s">
        <v>460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564">
        <f t="shared" si="2"/>
        <v>0</v>
      </c>
    </row>
    <row r="64" spans="1:9" x14ac:dyDescent="0.15">
      <c r="A64" s="425" t="s">
        <v>583</v>
      </c>
      <c r="B64" s="499" t="s">
        <v>1295</v>
      </c>
      <c r="C64" s="138" t="s">
        <v>584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564">
        <f t="shared" si="2"/>
        <v>0</v>
      </c>
    </row>
    <row r="65" spans="1:9" x14ac:dyDescent="0.15">
      <c r="A65" s="504" t="s">
        <v>114</v>
      </c>
      <c r="B65" s="499" t="s">
        <v>1296</v>
      </c>
      <c r="C65" s="138" t="s">
        <v>1345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564">
        <f t="shared" si="2"/>
        <v>0</v>
      </c>
    </row>
    <row r="66" spans="1:9" x14ac:dyDescent="0.15">
      <c r="A66" s="425" t="s">
        <v>103</v>
      </c>
      <c r="B66" s="499" t="s">
        <v>1297</v>
      </c>
      <c r="C66" s="138" t="s">
        <v>116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564">
        <f t="shared" si="2"/>
        <v>0</v>
      </c>
    </row>
    <row r="67" spans="1:9" x14ac:dyDescent="0.15">
      <c r="A67" s="425" t="s">
        <v>585</v>
      </c>
      <c r="B67" s="499" t="s">
        <v>1298</v>
      </c>
      <c r="C67" s="138" t="s">
        <v>586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564">
        <f t="shared" si="2"/>
        <v>0</v>
      </c>
    </row>
    <row r="68" spans="1:9" x14ac:dyDescent="0.15">
      <c r="A68" s="425" t="s">
        <v>587</v>
      </c>
      <c r="B68" s="505" t="s">
        <v>1299</v>
      </c>
      <c r="C68" s="138" t="s">
        <v>589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564">
        <f t="shared" si="2"/>
        <v>0</v>
      </c>
    </row>
    <row r="69" spans="1:9" x14ac:dyDescent="0.15">
      <c r="A69" s="500" t="s">
        <v>762</v>
      </c>
      <c r="B69" s="499" t="s">
        <v>1300</v>
      </c>
      <c r="C69" s="138" t="s">
        <v>461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564">
        <f t="shared" si="2"/>
        <v>0</v>
      </c>
    </row>
    <row r="70" spans="1:9" x14ac:dyDescent="0.15">
      <c r="A70" s="500" t="s">
        <v>763</v>
      </c>
      <c r="B70" s="499" t="s">
        <v>1301</v>
      </c>
      <c r="C70" s="138" t="s">
        <v>462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564">
        <f t="shared" si="2"/>
        <v>0</v>
      </c>
    </row>
    <row r="71" spans="1:9" x14ac:dyDescent="0.15">
      <c r="A71" s="500" t="s">
        <v>515</v>
      </c>
      <c r="B71" s="499" t="s">
        <v>1302</v>
      </c>
      <c r="C71" s="138" t="s">
        <v>519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564">
        <f t="shared" si="2"/>
        <v>0</v>
      </c>
    </row>
    <row r="72" spans="1:9" ht="11.25" thickBot="1" x14ac:dyDescent="0.2">
      <c r="A72" s="500" t="s">
        <v>764</v>
      </c>
      <c r="B72" s="499" t="s">
        <v>1303</v>
      </c>
      <c r="C72" s="138" t="s">
        <v>572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578">
        <f t="shared" si="2"/>
        <v>0</v>
      </c>
    </row>
    <row r="73" spans="1:9" ht="12" thickTop="1" thickBot="1" x14ac:dyDescent="0.2">
      <c r="A73" s="500"/>
      <c r="B73" s="501"/>
      <c r="C73" s="138"/>
      <c r="D73" s="199"/>
      <c r="E73" s="199"/>
      <c r="F73" s="199"/>
      <c r="G73" s="199"/>
      <c r="H73" s="199"/>
      <c r="I73" s="576"/>
    </row>
    <row r="74" spans="1:9" ht="12" thickTop="1" thickBot="1" x14ac:dyDescent="0.2">
      <c r="B74" s="499" t="s">
        <v>1304</v>
      </c>
      <c r="C74" s="138" t="s">
        <v>517</v>
      </c>
      <c r="D74" s="173">
        <f t="shared" ref="D74:I74" si="3">SUM(D51:D72)</f>
        <v>0</v>
      </c>
      <c r="E74" s="577">
        <f t="shared" si="3"/>
        <v>0</v>
      </c>
      <c r="F74" s="577">
        <f t="shared" si="3"/>
        <v>0</v>
      </c>
      <c r="G74" s="577">
        <f t="shared" si="3"/>
        <v>0</v>
      </c>
      <c r="H74" s="577">
        <f t="shared" si="3"/>
        <v>0</v>
      </c>
      <c r="I74" s="577">
        <f t="shared" si="3"/>
        <v>0</v>
      </c>
    </row>
    <row r="75" spans="1:9" ht="11.25" thickTop="1" x14ac:dyDescent="0.15">
      <c r="B75" s="506"/>
      <c r="C75" s="138"/>
      <c r="D75" s="198"/>
      <c r="E75" s="198"/>
      <c r="F75" s="198"/>
      <c r="G75" s="198"/>
      <c r="H75" s="198"/>
      <c r="I75" s="170"/>
    </row>
    <row r="76" spans="1:9" x14ac:dyDescent="0.15">
      <c r="B76" s="501"/>
      <c r="C76" s="507" t="s">
        <v>104</v>
      </c>
      <c r="I76" s="167"/>
    </row>
    <row r="77" spans="1:9" x14ac:dyDescent="0.15">
      <c r="A77" s="490" t="s">
        <v>389</v>
      </c>
      <c r="B77" s="499" t="s">
        <v>1305</v>
      </c>
      <c r="C77" s="138" t="s">
        <v>679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564">
        <f t="shared" ref="I77:I87" si="4">SUM(G77+H77)</f>
        <v>0</v>
      </c>
    </row>
    <row r="78" spans="1:9" x14ac:dyDescent="0.15">
      <c r="A78" s="504" t="s">
        <v>682</v>
      </c>
      <c r="B78" s="499" t="s">
        <v>1306</v>
      </c>
      <c r="C78" s="138" t="s">
        <v>680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564">
        <f t="shared" si="4"/>
        <v>0</v>
      </c>
    </row>
    <row r="79" spans="1:9" x14ac:dyDescent="0.15">
      <c r="A79" s="504" t="s">
        <v>683</v>
      </c>
      <c r="B79" s="499" t="s">
        <v>1307</v>
      </c>
      <c r="C79" s="138" t="s">
        <v>681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564">
        <f t="shared" si="4"/>
        <v>0</v>
      </c>
    </row>
    <row r="80" spans="1:9" x14ac:dyDescent="0.15">
      <c r="A80" s="490" t="s">
        <v>590</v>
      </c>
      <c r="B80" s="499" t="s">
        <v>1308</v>
      </c>
      <c r="C80" s="138" t="s">
        <v>591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564">
        <f t="shared" si="4"/>
        <v>0</v>
      </c>
    </row>
    <row r="81" spans="1:9" x14ac:dyDescent="0.15">
      <c r="A81" s="490" t="s">
        <v>592</v>
      </c>
      <c r="B81" s="499" t="s">
        <v>1309</v>
      </c>
      <c r="C81" s="138" t="s">
        <v>593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564">
        <f t="shared" si="4"/>
        <v>0</v>
      </c>
    </row>
    <row r="82" spans="1:9" x14ac:dyDescent="0.15">
      <c r="A82" s="504" t="s">
        <v>518</v>
      </c>
      <c r="B82" s="499" t="s">
        <v>1310</v>
      </c>
      <c r="C82" s="138" t="s">
        <v>520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564">
        <f t="shared" si="4"/>
        <v>0</v>
      </c>
    </row>
    <row r="83" spans="1:9" x14ac:dyDescent="0.15">
      <c r="A83" s="490" t="s">
        <v>594</v>
      </c>
      <c r="B83" s="499" t="s">
        <v>1311</v>
      </c>
      <c r="C83" s="138" t="s">
        <v>595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564">
        <f t="shared" si="4"/>
        <v>0</v>
      </c>
    </row>
    <row r="84" spans="1:9" x14ac:dyDescent="0.15">
      <c r="B84" s="508" t="s">
        <v>1312</v>
      </c>
      <c r="C84" s="138" t="s">
        <v>573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564">
        <f t="shared" si="4"/>
        <v>0</v>
      </c>
    </row>
    <row r="85" spans="1:9" x14ac:dyDescent="0.15">
      <c r="B85" s="508" t="s">
        <v>1313</v>
      </c>
      <c r="C85" s="138" t="s">
        <v>455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564">
        <f t="shared" si="4"/>
        <v>0</v>
      </c>
    </row>
    <row r="86" spans="1:9" x14ac:dyDescent="0.15">
      <c r="B86" s="499" t="s">
        <v>1314</v>
      </c>
      <c r="C86" s="138" t="s">
        <v>574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564">
        <f t="shared" si="4"/>
        <v>0</v>
      </c>
    </row>
    <row r="87" spans="1:9" x14ac:dyDescent="0.15">
      <c r="B87" s="499" t="s">
        <v>1315</v>
      </c>
      <c r="C87" s="138" t="s">
        <v>575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564">
        <f t="shared" si="4"/>
        <v>0</v>
      </c>
    </row>
    <row r="88" spans="1:9" ht="11.25" thickBot="1" x14ac:dyDescent="0.2">
      <c r="B88" s="501"/>
      <c r="C88" s="138"/>
      <c r="D88" s="14"/>
      <c r="E88" s="14"/>
      <c r="F88" s="14"/>
      <c r="G88" s="14"/>
      <c r="H88" s="14"/>
      <c r="I88" s="563"/>
    </row>
    <row r="89" spans="1:9" ht="12" thickTop="1" thickBot="1" x14ac:dyDescent="0.2">
      <c r="B89" s="499" t="s">
        <v>1316</v>
      </c>
      <c r="C89" s="138" t="s">
        <v>394</v>
      </c>
      <c r="D89" s="169">
        <f t="shared" ref="D89:I89" si="5">SUM(D77:D87)</f>
        <v>0</v>
      </c>
      <c r="E89" s="169">
        <f t="shared" si="5"/>
        <v>0</v>
      </c>
      <c r="F89" s="169">
        <f t="shared" si="5"/>
        <v>0</v>
      </c>
      <c r="G89" s="169">
        <f t="shared" si="5"/>
        <v>0</v>
      </c>
      <c r="H89" s="169">
        <f t="shared" si="5"/>
        <v>0</v>
      </c>
      <c r="I89" s="169">
        <f t="shared" si="5"/>
        <v>0</v>
      </c>
    </row>
    <row r="90" spans="1:9" ht="11.25" thickTop="1" x14ac:dyDescent="0.15">
      <c r="B90" s="501"/>
      <c r="C90" s="138"/>
      <c r="D90" s="198"/>
      <c r="E90" s="198"/>
      <c r="F90" s="198"/>
      <c r="G90" s="198"/>
      <c r="H90" s="198"/>
      <c r="I90" s="170"/>
    </row>
    <row r="91" spans="1:9" x14ac:dyDescent="0.15">
      <c r="B91" s="501"/>
      <c r="C91" s="507" t="s">
        <v>831</v>
      </c>
      <c r="D91" s="498"/>
      <c r="E91" s="498"/>
      <c r="F91" s="498"/>
      <c r="G91" s="498"/>
      <c r="H91" s="498"/>
      <c r="I91" s="159"/>
    </row>
    <row r="92" spans="1:9" x14ac:dyDescent="0.15">
      <c r="A92" s="425" t="s">
        <v>105</v>
      </c>
      <c r="B92" s="499" t="s">
        <v>1317</v>
      </c>
      <c r="C92" s="2" t="s">
        <v>1033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564">
        <f>SUM(G92+H92)</f>
        <v>0</v>
      </c>
    </row>
    <row r="93" spans="1:9" x14ac:dyDescent="0.15">
      <c r="A93" s="425" t="s">
        <v>537</v>
      </c>
      <c r="B93" s="499" t="s">
        <v>1318</v>
      </c>
      <c r="C93" s="138" t="s">
        <v>538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564">
        <f>SUM(G93+H93)</f>
        <v>0</v>
      </c>
    </row>
    <row r="94" spans="1:9" x14ac:dyDescent="0.15">
      <c r="A94" s="425" t="s">
        <v>536</v>
      </c>
      <c r="B94" s="499" t="s">
        <v>1319</v>
      </c>
      <c r="C94" s="138" t="s">
        <v>115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564">
        <f>SUM(G94+H94)</f>
        <v>0</v>
      </c>
    </row>
    <row r="95" spans="1:9" ht="11.25" thickBot="1" x14ac:dyDescent="0.2">
      <c r="A95" s="490" t="s">
        <v>596</v>
      </c>
      <c r="B95" s="499" t="s">
        <v>1320</v>
      </c>
      <c r="C95" s="138" t="s">
        <v>576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564">
        <f>SUM(G95+H95)</f>
        <v>0</v>
      </c>
    </row>
    <row r="96" spans="1:9" ht="12" thickTop="1" thickBot="1" x14ac:dyDescent="0.2">
      <c r="B96" s="499" t="s">
        <v>796</v>
      </c>
      <c r="C96" s="138" t="s">
        <v>395</v>
      </c>
      <c r="D96" s="169">
        <f t="shared" ref="D96:I96" si="6">SUM(D92:D95)</f>
        <v>0</v>
      </c>
      <c r="E96" s="169">
        <f t="shared" si="6"/>
        <v>0</v>
      </c>
      <c r="F96" s="169">
        <f t="shared" si="6"/>
        <v>0</v>
      </c>
      <c r="G96" s="169">
        <f t="shared" si="6"/>
        <v>0</v>
      </c>
      <c r="H96" s="169">
        <f t="shared" si="6"/>
        <v>0</v>
      </c>
      <c r="I96" s="169">
        <f t="shared" si="6"/>
        <v>0</v>
      </c>
    </row>
    <row r="97" spans="1:9" ht="12" thickTop="1" thickBot="1" x14ac:dyDescent="0.2">
      <c r="B97" s="501"/>
      <c r="C97" s="138"/>
      <c r="D97" s="198"/>
      <c r="E97" s="198"/>
      <c r="F97" s="198"/>
      <c r="G97" s="198"/>
      <c r="H97" s="198"/>
      <c r="I97" s="170"/>
    </row>
    <row r="98" spans="1:9" ht="22.5" thickTop="1" thickBot="1" x14ac:dyDescent="0.2">
      <c r="B98" s="499" t="s">
        <v>805</v>
      </c>
      <c r="C98" s="510" t="s">
        <v>396</v>
      </c>
      <c r="D98" s="169">
        <f t="shared" ref="D98:I98" si="7">SUM(D45+D48+D74+D89+D96)</f>
        <v>0</v>
      </c>
      <c r="E98" s="169">
        <f t="shared" si="7"/>
        <v>0</v>
      </c>
      <c r="F98" s="169">
        <f t="shared" si="7"/>
        <v>0</v>
      </c>
      <c r="G98" s="169">
        <f t="shared" si="7"/>
        <v>0</v>
      </c>
      <c r="H98" s="169">
        <f t="shared" si="7"/>
        <v>0</v>
      </c>
      <c r="I98" s="169">
        <f t="shared" si="7"/>
        <v>0</v>
      </c>
    </row>
    <row r="99" spans="1:9" ht="12" thickTop="1" thickBot="1" x14ac:dyDescent="0.2">
      <c r="B99" s="501"/>
      <c r="C99" s="138"/>
      <c r="D99" s="198"/>
      <c r="E99" s="198"/>
      <c r="F99" s="198"/>
      <c r="G99" s="198"/>
      <c r="H99" s="198"/>
      <c r="I99" s="170"/>
    </row>
    <row r="100" spans="1:9" ht="22.5" thickTop="1" thickBot="1" x14ac:dyDescent="0.2">
      <c r="B100" s="499" t="s">
        <v>398</v>
      </c>
      <c r="C100" s="510" t="s">
        <v>397</v>
      </c>
      <c r="D100" s="169">
        <f t="shared" ref="D100:I100" si="8">D98+D5</f>
        <v>0</v>
      </c>
      <c r="E100" s="169">
        <f t="shared" si="8"/>
        <v>0</v>
      </c>
      <c r="F100" s="169">
        <f t="shared" si="8"/>
        <v>0</v>
      </c>
      <c r="G100" s="169">
        <f t="shared" si="8"/>
        <v>0</v>
      </c>
      <c r="H100" s="169">
        <f t="shared" si="8"/>
        <v>0</v>
      </c>
      <c r="I100" s="169">
        <f t="shared" si="8"/>
        <v>0</v>
      </c>
    </row>
    <row r="101" spans="1:9" ht="11.25" thickTop="1" x14ac:dyDescent="0.15">
      <c r="B101" s="501"/>
      <c r="C101" s="138" t="s">
        <v>47</v>
      </c>
      <c r="D101" s="198"/>
      <c r="E101" s="198"/>
      <c r="F101" s="198"/>
      <c r="G101" s="198"/>
      <c r="H101" s="198"/>
      <c r="I101" s="170"/>
    </row>
    <row r="102" spans="1:9" x14ac:dyDescent="0.15">
      <c r="A102" s="504" t="s">
        <v>765</v>
      </c>
      <c r="B102" s="511" t="s">
        <v>399</v>
      </c>
      <c r="C102" s="651" t="s">
        <v>1225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564">
        <f>SUM(G102+H102)</f>
        <v>0</v>
      </c>
    </row>
    <row r="103" spans="1:9" x14ac:dyDescent="0.15">
      <c r="A103" s="504" t="s">
        <v>1514</v>
      </c>
      <c r="B103" s="511" t="s">
        <v>400</v>
      </c>
      <c r="C103" s="138" t="s">
        <v>48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564">
        <f>SUM(G103+H103)</f>
        <v>0</v>
      </c>
    </row>
    <row r="104" spans="1:9" x14ac:dyDescent="0.15">
      <c r="A104" s="504" t="s">
        <v>684</v>
      </c>
      <c r="B104" s="511" t="s">
        <v>401</v>
      </c>
      <c r="C104" s="138" t="s">
        <v>264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564">
        <f>SUM(G104+H104)</f>
        <v>0</v>
      </c>
    </row>
    <row r="105" spans="1:9" ht="11.25" thickBot="1" x14ac:dyDescent="0.2">
      <c r="A105" s="504"/>
      <c r="B105" s="499"/>
      <c r="C105" s="138"/>
      <c r="D105" s="14"/>
      <c r="E105" s="14"/>
      <c r="F105" s="14"/>
      <c r="G105" s="14"/>
      <c r="H105" s="14"/>
      <c r="I105" s="563"/>
    </row>
    <row r="106" spans="1:9" ht="12" thickTop="1" thickBot="1" x14ac:dyDescent="0.2">
      <c r="A106" s="504"/>
      <c r="B106" s="511" t="s">
        <v>402</v>
      </c>
      <c r="C106" s="138" t="s">
        <v>404</v>
      </c>
      <c r="D106" s="169">
        <f t="shared" ref="D106:I106" si="9">SUM(D102:D104)</f>
        <v>0</v>
      </c>
      <c r="E106" s="169">
        <f t="shared" si="9"/>
        <v>0</v>
      </c>
      <c r="F106" s="169">
        <f t="shared" si="9"/>
        <v>0</v>
      </c>
      <c r="G106" s="169">
        <f t="shared" si="9"/>
        <v>0</v>
      </c>
      <c r="H106" s="169">
        <f t="shared" si="9"/>
        <v>0</v>
      </c>
      <c r="I106" s="169">
        <f t="shared" si="9"/>
        <v>0</v>
      </c>
    </row>
    <row r="107" spans="1:9" ht="12" thickTop="1" thickBot="1" x14ac:dyDescent="0.2">
      <c r="A107" s="504"/>
      <c r="B107" s="501"/>
      <c r="C107" s="138"/>
      <c r="D107" s="14"/>
      <c r="E107" s="14"/>
      <c r="F107" s="14"/>
      <c r="G107" s="14"/>
      <c r="H107" s="14"/>
      <c r="I107" s="563"/>
    </row>
    <row r="108" spans="1:9" ht="11.25" thickBot="1" x14ac:dyDescent="0.2">
      <c r="B108" s="511" t="s">
        <v>403</v>
      </c>
      <c r="C108" s="512" t="s">
        <v>405</v>
      </c>
      <c r="D108" s="171">
        <f t="shared" ref="D108:I108" si="10">D100-D106</f>
        <v>0</v>
      </c>
      <c r="E108" s="171">
        <f t="shared" si="10"/>
        <v>0</v>
      </c>
      <c r="F108" s="171">
        <f t="shared" si="10"/>
        <v>0</v>
      </c>
      <c r="G108" s="171">
        <f t="shared" si="10"/>
        <v>0</v>
      </c>
      <c r="H108" s="171">
        <f t="shared" si="10"/>
        <v>0</v>
      </c>
      <c r="I108" s="171">
        <f t="shared" si="10"/>
        <v>0</v>
      </c>
    </row>
    <row r="109" spans="1:9" x14ac:dyDescent="0.15">
      <c r="I109" s="167"/>
    </row>
    <row r="110" spans="1:9" x14ac:dyDescent="0.15">
      <c r="A110" s="660" t="s">
        <v>824</v>
      </c>
      <c r="C110" s="495" t="s">
        <v>816</v>
      </c>
      <c r="I110" s="179"/>
    </row>
    <row r="111" spans="1:9" x14ac:dyDescent="0.15">
      <c r="A111" s="436" t="s">
        <v>105</v>
      </c>
      <c r="B111" s="499" t="s">
        <v>818</v>
      </c>
      <c r="C111" s="2" t="s">
        <v>827</v>
      </c>
      <c r="D111" s="41">
        <v>0</v>
      </c>
      <c r="E111" s="41">
        <v>0</v>
      </c>
      <c r="F111" s="41">
        <v>0</v>
      </c>
      <c r="G111" s="41">
        <v>0</v>
      </c>
      <c r="H111" s="534">
        <v>0</v>
      </c>
      <c r="I111" s="535">
        <f>SUM(G111+H111)</f>
        <v>0</v>
      </c>
    </row>
    <row r="113" spans="1:9" x14ac:dyDescent="0.15">
      <c r="A113" s="660" t="s">
        <v>825</v>
      </c>
      <c r="C113" s="495" t="s">
        <v>817</v>
      </c>
    </row>
    <row r="114" spans="1:9" x14ac:dyDescent="0.15">
      <c r="A114" s="660"/>
      <c r="C114" s="423" t="s">
        <v>0</v>
      </c>
    </row>
    <row r="115" spans="1:9" x14ac:dyDescent="0.15">
      <c r="A115" s="689" t="s">
        <v>765</v>
      </c>
      <c r="B115" s="511" t="s">
        <v>819</v>
      </c>
      <c r="C115" s="651" t="s">
        <v>1225</v>
      </c>
      <c r="D115" s="41">
        <v>0</v>
      </c>
      <c r="E115" s="41">
        <v>0</v>
      </c>
      <c r="F115" s="41">
        <v>0</v>
      </c>
      <c r="G115" s="41">
        <v>0</v>
      </c>
      <c r="H115" s="532">
        <v>0</v>
      </c>
      <c r="I115" s="535">
        <f>SUM(G115+H115)</f>
        <v>0</v>
      </c>
    </row>
    <row r="116" spans="1:9" x14ac:dyDescent="0.15">
      <c r="A116" s="691" t="s">
        <v>1514</v>
      </c>
      <c r="B116" s="675" t="s">
        <v>820</v>
      </c>
      <c r="C116" s="651" t="s">
        <v>1210</v>
      </c>
      <c r="D116" s="664">
        <v>0</v>
      </c>
      <c r="E116" s="664">
        <v>0</v>
      </c>
      <c r="F116" s="664">
        <v>0</v>
      </c>
      <c r="G116" s="664">
        <v>0</v>
      </c>
      <c r="H116" s="676">
        <v>0</v>
      </c>
      <c r="I116" s="529">
        <f>SUM(G116+H116)</f>
        <v>0</v>
      </c>
    </row>
    <row r="117" spans="1:9" x14ac:dyDescent="0.15">
      <c r="A117" s="689" t="s">
        <v>684</v>
      </c>
      <c r="B117" s="511" t="s">
        <v>821</v>
      </c>
      <c r="C117" s="138" t="s">
        <v>189</v>
      </c>
      <c r="D117" s="41">
        <v>0</v>
      </c>
      <c r="E117" s="41">
        <v>0</v>
      </c>
      <c r="F117" s="41">
        <v>0</v>
      </c>
      <c r="G117" s="41">
        <v>0</v>
      </c>
      <c r="H117" s="532">
        <v>0</v>
      </c>
      <c r="I117" s="535">
        <f>SUM(G117+H117)</f>
        <v>0</v>
      </c>
    </row>
    <row r="119" spans="1:9" x14ac:dyDescent="0.15">
      <c r="B119" s="423" t="s">
        <v>856</v>
      </c>
    </row>
    <row r="121" spans="1:9" x14ac:dyDescent="0.15">
      <c r="A121" s="662" t="s">
        <v>828</v>
      </c>
      <c r="B121" s="424" t="s">
        <v>829</v>
      </c>
    </row>
  </sheetData>
  <sheetProtection formatCells="0" formatColumns="0" formatRows="0"/>
  <phoneticPr fontId="15" type="noConversion"/>
  <pageMargins left="0.75" right="0.75" top="1" bottom="1" header="0.5" footer="0.5"/>
  <pageSetup scale="58" orientation="portrait" r:id="rId1"/>
  <headerFooter alignWithMargins="0">
    <oddFooter>&amp;LCDE, Public School Finance Unit&amp;C&amp;P&amp;RRevised, March 2009</oddFooter>
  </headerFooter>
  <rowBreaks count="1" manualBreakCount="1">
    <brk id="8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5"/>
  <sheetViews>
    <sheetView zoomScaleNormal="100" workbookViewId="0">
      <selection activeCell="D5" sqref="D5"/>
    </sheetView>
  </sheetViews>
  <sheetFormatPr defaultRowHeight="10.5" x14ac:dyDescent="0.15"/>
  <cols>
    <col min="1" max="1" width="4.83203125" style="423" customWidth="1"/>
    <col min="2" max="2" width="17.5" style="423" customWidth="1"/>
    <col min="3" max="3" width="58.33203125" style="423" customWidth="1"/>
    <col min="4" max="4" width="15.83203125" style="423" customWidth="1"/>
    <col min="5" max="5" width="17" style="423" customWidth="1"/>
    <col min="6" max="6" width="17.33203125" style="423" customWidth="1"/>
    <col min="7" max="7" width="18.33203125" style="423" customWidth="1"/>
    <col min="8" max="8" width="20.33203125" style="423" customWidth="1"/>
    <col min="9" max="9" width="21.1640625" style="423" customWidth="1"/>
    <col min="10" max="16384" width="9.33203125" style="423"/>
  </cols>
  <sheetData>
    <row r="1" spans="1:10" x14ac:dyDescent="0.15">
      <c r="A1" s="423" t="s">
        <v>106</v>
      </c>
      <c r="C1" s="138">
        <f>+'Page 1 - FY2014-15'!B5</f>
        <v>0</v>
      </c>
      <c r="D1" s="423" t="s">
        <v>1586</v>
      </c>
      <c r="E1" s="428">
        <f>+'Page 1 - FY2014-15'!F7</f>
        <v>0</v>
      </c>
      <c r="G1" s="485" t="s">
        <v>1588</v>
      </c>
    </row>
    <row r="2" spans="1:10" ht="12.75" x14ac:dyDescent="0.2">
      <c r="A2" s="514" t="s">
        <v>546</v>
      </c>
      <c r="B2" s="515"/>
      <c r="H2" s="485"/>
      <c r="I2" s="485"/>
    </row>
    <row r="3" spans="1:10" x14ac:dyDescent="0.15">
      <c r="A3" s="515"/>
      <c r="B3" s="515"/>
      <c r="G3" s="485"/>
      <c r="H3" s="485"/>
      <c r="I3" s="485"/>
    </row>
    <row r="4" spans="1:10" ht="35.25" customHeight="1" x14ac:dyDescent="0.15">
      <c r="A4" s="515"/>
      <c r="B4" s="515"/>
      <c r="D4" s="686" t="s">
        <v>1701</v>
      </c>
      <c r="E4" s="686" t="s">
        <v>1702</v>
      </c>
      <c r="F4" s="686" t="s">
        <v>1703</v>
      </c>
      <c r="G4" s="686" t="s">
        <v>1704</v>
      </c>
      <c r="H4" s="686" t="s">
        <v>1705</v>
      </c>
      <c r="I4" s="686" t="s">
        <v>1706</v>
      </c>
    </row>
    <row r="5" spans="1:10" ht="54.75" customHeight="1" x14ac:dyDescent="0.15">
      <c r="A5" s="515"/>
      <c r="B5" s="515"/>
      <c r="D5" s="491"/>
      <c r="E5" s="491"/>
      <c r="F5" s="491"/>
      <c r="G5" s="491"/>
      <c r="H5" s="492" t="s">
        <v>193</v>
      </c>
      <c r="I5" s="492" t="s">
        <v>192</v>
      </c>
    </row>
    <row r="6" spans="1:10" x14ac:dyDescent="0.15">
      <c r="A6" s="515"/>
      <c r="B6" s="515"/>
      <c r="G6" s="485"/>
      <c r="H6" s="485"/>
      <c r="I6" s="485"/>
    </row>
    <row r="7" spans="1:10" x14ac:dyDescent="0.15">
      <c r="A7" s="515"/>
      <c r="B7" s="515"/>
      <c r="G7" s="485"/>
      <c r="H7" s="485"/>
      <c r="I7" s="485"/>
    </row>
    <row r="8" spans="1:10" x14ac:dyDescent="0.15">
      <c r="A8" s="507" t="s">
        <v>117</v>
      </c>
      <c r="D8" s="516"/>
      <c r="E8" s="516"/>
      <c r="F8" s="516"/>
      <c r="G8" s="516"/>
    </row>
    <row r="9" spans="1:10" s="518" customFormat="1" x14ac:dyDescent="0.15">
      <c r="B9" s="519" t="s">
        <v>739</v>
      </c>
      <c r="D9" s="146"/>
      <c r="E9" s="146"/>
      <c r="F9" s="146"/>
      <c r="G9" s="145"/>
      <c r="I9" s="530"/>
    </row>
    <row r="10" spans="1:10" x14ac:dyDescent="0.15">
      <c r="A10" s="512" t="s">
        <v>69</v>
      </c>
      <c r="I10" s="167"/>
    </row>
    <row r="11" spans="1:10" s="434" customFormat="1" x14ac:dyDescent="0.15">
      <c r="B11" s="523" t="s">
        <v>1577</v>
      </c>
      <c r="C11" s="524" t="s">
        <v>228</v>
      </c>
      <c r="D11" s="316">
        <v>0</v>
      </c>
      <c r="E11" s="316">
        <v>0</v>
      </c>
      <c r="F11" s="316">
        <v>0</v>
      </c>
      <c r="G11" s="528">
        <f t="array" ref="G11">SUM(IF(CertFund&amp;CertProg&amp;CertObj=RIGHT(LEFT($A$2,7),2)&amp;LEFT(A10,4)&amp;B11,CertSalary))</f>
        <v>0</v>
      </c>
      <c r="H11" s="527">
        <v>0</v>
      </c>
      <c r="I11" s="566">
        <f>SUM(G11+H11)</f>
        <v>0</v>
      </c>
    </row>
    <row r="12" spans="1:10" s="434" customFormat="1" x14ac:dyDescent="0.15">
      <c r="B12" s="523" t="s">
        <v>1577</v>
      </c>
      <c r="C12" s="524" t="s">
        <v>510</v>
      </c>
      <c r="D12" s="316">
        <v>0</v>
      </c>
      <c r="E12" s="316">
        <v>0</v>
      </c>
      <c r="F12" s="316">
        <v>0</v>
      </c>
      <c r="G12" s="316">
        <v>0</v>
      </c>
      <c r="H12" s="527">
        <v>0</v>
      </c>
      <c r="I12" s="566">
        <f>SUM(G12+H12)</f>
        <v>0</v>
      </c>
    </row>
    <row r="13" spans="1:10" s="434" customFormat="1" x14ac:dyDescent="0.15">
      <c r="A13" s="524"/>
      <c r="B13" s="523" t="s">
        <v>1578</v>
      </c>
      <c r="C13" s="524" t="s">
        <v>936</v>
      </c>
      <c r="D13" s="316">
        <v>0</v>
      </c>
      <c r="E13" s="316">
        <v>0</v>
      </c>
      <c r="F13" s="316">
        <v>0</v>
      </c>
      <c r="G13" s="529">
        <f t="array" ref="G13">SUM(IF(CertFund&amp;CertProg&amp;CertObj=RIGHT(LEFT($A$2,7),2)&amp;LEFT(A10,4)&amp;B11,CertBen))</f>
        <v>0</v>
      </c>
      <c r="H13" s="527">
        <v>0</v>
      </c>
      <c r="I13" s="566">
        <f>SUM(G13+H13)</f>
        <v>0</v>
      </c>
    </row>
    <row r="14" spans="1:10" x14ac:dyDescent="0.15">
      <c r="A14" s="138"/>
      <c r="B14" s="521" t="s">
        <v>1578</v>
      </c>
      <c r="C14" s="138" t="s">
        <v>511</v>
      </c>
      <c r="D14" s="147">
        <v>0</v>
      </c>
      <c r="E14" s="147">
        <v>0</v>
      </c>
      <c r="F14" s="147">
        <v>0</v>
      </c>
      <c r="G14" s="147">
        <v>0</v>
      </c>
      <c r="H14" s="150">
        <v>0</v>
      </c>
      <c r="I14" s="567">
        <f>SUM(G14+H14)</f>
        <v>0</v>
      </c>
      <c r="J14" s="434"/>
    </row>
    <row r="15" spans="1:10" x14ac:dyDescent="0.15">
      <c r="A15" s="138"/>
      <c r="B15" s="521" t="s">
        <v>1579</v>
      </c>
      <c r="C15" s="138" t="s">
        <v>118</v>
      </c>
      <c r="D15" s="147">
        <v>0</v>
      </c>
      <c r="E15" s="147">
        <v>0</v>
      </c>
      <c r="F15" s="147">
        <v>0</v>
      </c>
      <c r="G15" s="291">
        <v>0</v>
      </c>
      <c r="H15" s="150">
        <v>0</v>
      </c>
      <c r="I15" s="567">
        <f t="shared" ref="I15:I44" si="0">SUM(G15+H15)</f>
        <v>0</v>
      </c>
    </row>
    <row r="16" spans="1:10" x14ac:dyDescent="0.15">
      <c r="A16" s="138"/>
      <c r="B16" s="521" t="s">
        <v>1580</v>
      </c>
      <c r="C16" s="138" t="s">
        <v>119</v>
      </c>
      <c r="D16" s="147">
        <v>0</v>
      </c>
      <c r="E16" s="147">
        <v>0</v>
      </c>
      <c r="F16" s="147">
        <v>0</v>
      </c>
      <c r="G16" s="291">
        <v>0</v>
      </c>
      <c r="H16" s="150">
        <v>0</v>
      </c>
      <c r="I16" s="567">
        <f t="shared" si="0"/>
        <v>0</v>
      </c>
    </row>
    <row r="17" spans="1:9" x14ac:dyDescent="0.15">
      <c r="A17" s="138"/>
      <c r="B17" s="521" t="s">
        <v>120</v>
      </c>
      <c r="C17" s="138" t="s">
        <v>121</v>
      </c>
      <c r="D17" s="147">
        <v>0</v>
      </c>
      <c r="E17" s="147">
        <v>0</v>
      </c>
      <c r="F17" s="147">
        <v>0</v>
      </c>
      <c r="G17" s="291">
        <v>0</v>
      </c>
      <c r="H17" s="150">
        <v>0</v>
      </c>
      <c r="I17" s="567">
        <f t="shared" si="0"/>
        <v>0</v>
      </c>
    </row>
    <row r="18" spans="1:9" x14ac:dyDescent="0.15">
      <c r="A18" s="138"/>
      <c r="B18" s="521" t="s">
        <v>122</v>
      </c>
      <c r="C18" s="138" t="s">
        <v>123</v>
      </c>
      <c r="D18" s="147">
        <v>0</v>
      </c>
      <c r="E18" s="147">
        <v>0</v>
      </c>
      <c r="F18" s="147">
        <v>0</v>
      </c>
      <c r="G18" s="291">
        <v>0</v>
      </c>
      <c r="H18" s="150">
        <v>0</v>
      </c>
      <c r="I18" s="567">
        <f t="shared" si="0"/>
        <v>0</v>
      </c>
    </row>
    <row r="19" spans="1:9" x14ac:dyDescent="0.15">
      <c r="A19" s="138"/>
      <c r="B19" s="521" t="s">
        <v>1581</v>
      </c>
      <c r="C19" s="138" t="s">
        <v>124</v>
      </c>
      <c r="D19" s="147">
        <v>0</v>
      </c>
      <c r="E19" s="147">
        <v>0</v>
      </c>
      <c r="F19" s="147">
        <v>0</v>
      </c>
      <c r="G19" s="291">
        <v>0</v>
      </c>
      <c r="H19" s="150">
        <v>0</v>
      </c>
      <c r="I19" s="567">
        <f t="shared" si="0"/>
        <v>0</v>
      </c>
    </row>
    <row r="20" spans="1:9" x14ac:dyDescent="0.15">
      <c r="A20" s="138"/>
      <c r="B20" s="521" t="s">
        <v>127</v>
      </c>
      <c r="C20" s="138" t="s">
        <v>134</v>
      </c>
      <c r="D20" s="147">
        <v>0</v>
      </c>
      <c r="E20" s="147">
        <v>0</v>
      </c>
      <c r="F20" s="147">
        <v>0</v>
      </c>
      <c r="G20" s="291">
        <v>0</v>
      </c>
      <c r="H20" s="150">
        <v>0</v>
      </c>
      <c r="I20" s="567">
        <f t="shared" si="0"/>
        <v>0</v>
      </c>
    </row>
    <row r="21" spans="1:9" x14ac:dyDescent="0.15">
      <c r="A21" s="138"/>
      <c r="B21" s="521" t="s">
        <v>132</v>
      </c>
      <c r="C21" s="138" t="s">
        <v>1617</v>
      </c>
      <c r="D21" s="147">
        <v>0</v>
      </c>
      <c r="E21" s="147">
        <v>0</v>
      </c>
      <c r="F21" s="147">
        <v>0</v>
      </c>
      <c r="G21" s="291">
        <v>0</v>
      </c>
      <c r="H21" s="150">
        <v>0</v>
      </c>
      <c r="I21" s="567">
        <f t="shared" si="0"/>
        <v>0</v>
      </c>
    </row>
    <row r="22" spans="1:9" x14ac:dyDescent="0.15">
      <c r="A22" s="138"/>
      <c r="B22" s="521" t="s">
        <v>1618</v>
      </c>
      <c r="C22" s="138" t="s">
        <v>836</v>
      </c>
      <c r="D22" s="147">
        <v>0</v>
      </c>
      <c r="E22" s="147">
        <v>0</v>
      </c>
      <c r="F22" s="147">
        <v>0</v>
      </c>
      <c r="G22" s="291">
        <v>0</v>
      </c>
      <c r="H22" s="150">
        <v>0</v>
      </c>
      <c r="I22" s="567">
        <f t="shared" si="0"/>
        <v>0</v>
      </c>
    </row>
    <row r="23" spans="1:9" x14ac:dyDescent="0.15">
      <c r="A23" s="138"/>
      <c r="B23" s="521" t="s">
        <v>1619</v>
      </c>
      <c r="C23" s="138" t="s">
        <v>185</v>
      </c>
      <c r="D23" s="147">
        <v>0</v>
      </c>
      <c r="E23" s="147">
        <v>0</v>
      </c>
      <c r="F23" s="147">
        <v>0</v>
      </c>
      <c r="G23" s="291">
        <v>0</v>
      </c>
      <c r="H23" s="150">
        <v>0</v>
      </c>
      <c r="I23" s="567">
        <f t="shared" si="0"/>
        <v>0</v>
      </c>
    </row>
    <row r="24" spans="1:9" x14ac:dyDescent="0.15">
      <c r="A24" s="138"/>
      <c r="B24" s="521" t="s">
        <v>1620</v>
      </c>
      <c r="C24" s="138" t="s">
        <v>838</v>
      </c>
      <c r="D24" s="147">
        <v>0</v>
      </c>
      <c r="E24" s="147">
        <v>0</v>
      </c>
      <c r="F24" s="147">
        <v>0</v>
      </c>
      <c r="G24" s="291">
        <v>0</v>
      </c>
      <c r="H24" s="150">
        <v>0</v>
      </c>
      <c r="I24" s="567">
        <f t="shared" si="0"/>
        <v>0</v>
      </c>
    </row>
    <row r="25" spans="1:9" x14ac:dyDescent="0.15">
      <c r="A25" s="138"/>
      <c r="B25" s="521" t="s">
        <v>1621</v>
      </c>
      <c r="C25" s="138" t="s">
        <v>839</v>
      </c>
      <c r="D25" s="147">
        <v>0</v>
      </c>
      <c r="E25" s="147">
        <v>0</v>
      </c>
      <c r="F25" s="147">
        <v>0</v>
      </c>
      <c r="G25" s="291">
        <v>0</v>
      </c>
      <c r="H25" s="150">
        <v>0</v>
      </c>
      <c r="I25" s="567">
        <f t="shared" si="0"/>
        <v>0</v>
      </c>
    </row>
    <row r="26" spans="1:9" x14ac:dyDescent="0.15">
      <c r="A26" s="138"/>
      <c r="B26" s="521" t="s">
        <v>1622</v>
      </c>
      <c r="C26" s="138" t="s">
        <v>190</v>
      </c>
      <c r="D26" s="147">
        <v>0</v>
      </c>
      <c r="E26" s="147">
        <v>0</v>
      </c>
      <c r="F26" s="147">
        <v>0</v>
      </c>
      <c r="G26" s="291">
        <v>0</v>
      </c>
      <c r="H26" s="150">
        <v>0</v>
      </c>
      <c r="I26" s="567">
        <f t="shared" si="0"/>
        <v>0</v>
      </c>
    </row>
    <row r="27" spans="1:9" x14ac:dyDescent="0.15">
      <c r="A27" s="138"/>
      <c r="B27" s="521" t="s">
        <v>1623</v>
      </c>
      <c r="C27" s="138" t="s">
        <v>191</v>
      </c>
      <c r="D27" s="147">
        <v>0</v>
      </c>
      <c r="E27" s="147">
        <v>0</v>
      </c>
      <c r="F27" s="147">
        <v>0</v>
      </c>
      <c r="G27" s="291">
        <v>0</v>
      </c>
      <c r="H27" s="150">
        <v>0</v>
      </c>
      <c r="I27" s="567">
        <f t="shared" si="0"/>
        <v>0</v>
      </c>
    </row>
    <row r="28" spans="1:9" x14ac:dyDescent="0.15">
      <c r="A28" s="138"/>
      <c r="B28" s="521" t="s">
        <v>1624</v>
      </c>
      <c r="C28" s="138" t="s">
        <v>840</v>
      </c>
      <c r="D28" s="147">
        <v>0</v>
      </c>
      <c r="E28" s="147">
        <v>0</v>
      </c>
      <c r="F28" s="147">
        <v>0</v>
      </c>
      <c r="G28" s="291">
        <v>0</v>
      </c>
      <c r="H28" s="150">
        <v>0</v>
      </c>
      <c r="I28" s="567">
        <f t="shared" si="0"/>
        <v>0</v>
      </c>
    </row>
    <row r="29" spans="1:9" x14ac:dyDescent="0.15">
      <c r="A29" s="138"/>
      <c r="B29" s="521" t="s">
        <v>1625</v>
      </c>
      <c r="C29" s="138" t="s">
        <v>842</v>
      </c>
      <c r="D29" s="147">
        <v>0</v>
      </c>
      <c r="E29" s="147">
        <v>0</v>
      </c>
      <c r="F29" s="147">
        <v>0</v>
      </c>
      <c r="G29" s="291">
        <v>0</v>
      </c>
      <c r="H29" s="150">
        <v>0</v>
      </c>
      <c r="I29" s="567">
        <f t="shared" si="0"/>
        <v>0</v>
      </c>
    </row>
    <row r="30" spans="1:9" x14ac:dyDescent="0.15">
      <c r="A30" s="138"/>
      <c r="B30" s="521" t="s">
        <v>843</v>
      </c>
      <c r="C30" s="138" t="s">
        <v>848</v>
      </c>
      <c r="D30" s="147">
        <v>0</v>
      </c>
      <c r="E30" s="147">
        <v>0</v>
      </c>
      <c r="F30" s="147">
        <v>0</v>
      </c>
      <c r="G30" s="291">
        <v>0</v>
      </c>
      <c r="H30" s="150">
        <v>0</v>
      </c>
      <c r="I30" s="567">
        <f t="shared" si="0"/>
        <v>0</v>
      </c>
    </row>
    <row r="31" spans="1:9" x14ac:dyDescent="0.15">
      <c r="A31" s="138"/>
      <c r="B31" s="521" t="s">
        <v>844</v>
      </c>
      <c r="C31" s="138" t="s">
        <v>186</v>
      </c>
      <c r="D31" s="147">
        <v>0</v>
      </c>
      <c r="E31" s="147">
        <v>0</v>
      </c>
      <c r="F31" s="147">
        <v>0</v>
      </c>
      <c r="G31" s="291">
        <v>0</v>
      </c>
      <c r="H31" s="150">
        <v>0</v>
      </c>
      <c r="I31" s="567">
        <f t="shared" si="0"/>
        <v>0</v>
      </c>
    </row>
    <row r="32" spans="1:9" x14ac:dyDescent="0.15">
      <c r="A32" s="138"/>
      <c r="B32" s="521" t="s">
        <v>845</v>
      </c>
      <c r="C32" s="138" t="s">
        <v>154</v>
      </c>
      <c r="D32" s="147">
        <v>0</v>
      </c>
      <c r="E32" s="147">
        <v>0</v>
      </c>
      <c r="F32" s="147">
        <v>0</v>
      </c>
      <c r="G32" s="291">
        <v>0</v>
      </c>
      <c r="H32" s="150">
        <v>0</v>
      </c>
      <c r="I32" s="567">
        <f t="shared" si="0"/>
        <v>0</v>
      </c>
    </row>
    <row r="33" spans="1:9" x14ac:dyDescent="0.15">
      <c r="A33" s="138"/>
      <c r="B33" s="521" t="s">
        <v>846</v>
      </c>
      <c r="C33" s="138" t="s">
        <v>155</v>
      </c>
      <c r="D33" s="147">
        <v>0</v>
      </c>
      <c r="E33" s="147">
        <v>0</v>
      </c>
      <c r="F33" s="147">
        <v>0</v>
      </c>
      <c r="G33" s="291">
        <v>0</v>
      </c>
      <c r="H33" s="150">
        <v>0</v>
      </c>
      <c r="I33" s="567">
        <f t="shared" si="0"/>
        <v>0</v>
      </c>
    </row>
    <row r="34" spans="1:9" x14ac:dyDescent="0.15">
      <c r="A34" s="138"/>
      <c r="B34" s="521" t="s">
        <v>1582</v>
      </c>
      <c r="C34" s="138" t="s">
        <v>156</v>
      </c>
      <c r="D34" s="147">
        <v>0</v>
      </c>
      <c r="E34" s="147">
        <v>0</v>
      </c>
      <c r="F34" s="147">
        <v>0</v>
      </c>
      <c r="G34" s="291">
        <v>0</v>
      </c>
      <c r="H34" s="150">
        <v>0</v>
      </c>
      <c r="I34" s="567">
        <f t="shared" si="0"/>
        <v>0</v>
      </c>
    </row>
    <row r="35" spans="1:9" x14ac:dyDescent="0.15">
      <c r="A35" s="138"/>
      <c r="B35" s="521" t="s">
        <v>847</v>
      </c>
      <c r="C35" s="138" t="s">
        <v>157</v>
      </c>
      <c r="D35" s="147">
        <v>0</v>
      </c>
      <c r="E35" s="147">
        <v>0</v>
      </c>
      <c r="F35" s="147">
        <v>0</v>
      </c>
      <c r="G35" s="291">
        <v>0</v>
      </c>
      <c r="H35" s="150">
        <v>0</v>
      </c>
      <c r="I35" s="567">
        <f t="shared" si="0"/>
        <v>0</v>
      </c>
    </row>
    <row r="36" spans="1:9" x14ac:dyDescent="0.15">
      <c r="A36" s="138"/>
      <c r="B36" s="521" t="s">
        <v>1583</v>
      </c>
      <c r="C36" s="138" t="s">
        <v>160</v>
      </c>
      <c r="D36" s="147">
        <v>0</v>
      </c>
      <c r="E36" s="147">
        <v>0</v>
      </c>
      <c r="F36" s="147">
        <v>0</v>
      </c>
      <c r="G36" s="291">
        <v>0</v>
      </c>
      <c r="H36" s="150">
        <v>0</v>
      </c>
      <c r="I36" s="567">
        <f t="shared" si="0"/>
        <v>0</v>
      </c>
    </row>
    <row r="37" spans="1:9" x14ac:dyDescent="0.15">
      <c r="A37" s="138"/>
      <c r="B37" s="521" t="s">
        <v>634</v>
      </c>
      <c r="C37" s="138" t="s">
        <v>165</v>
      </c>
      <c r="D37" s="147">
        <v>0</v>
      </c>
      <c r="E37" s="147">
        <v>0</v>
      </c>
      <c r="F37" s="147">
        <v>0</v>
      </c>
      <c r="G37" s="291">
        <v>0</v>
      </c>
      <c r="H37" s="150">
        <v>0</v>
      </c>
      <c r="I37" s="567">
        <f t="shared" si="0"/>
        <v>0</v>
      </c>
    </row>
    <row r="38" spans="1:9" x14ac:dyDescent="0.15">
      <c r="A38" s="138"/>
      <c r="B38" s="521" t="s">
        <v>630</v>
      </c>
      <c r="C38" s="138" t="s">
        <v>172</v>
      </c>
      <c r="D38" s="147">
        <v>0</v>
      </c>
      <c r="E38" s="147">
        <v>0</v>
      </c>
      <c r="F38" s="147">
        <v>0</v>
      </c>
      <c r="G38" s="291">
        <v>0</v>
      </c>
      <c r="H38" s="150">
        <v>0</v>
      </c>
      <c r="I38" s="567">
        <f t="shared" si="0"/>
        <v>0</v>
      </c>
    </row>
    <row r="39" spans="1:9" x14ac:dyDescent="0.15">
      <c r="A39" s="138"/>
      <c r="B39" s="650" t="s">
        <v>631</v>
      </c>
      <c r="C39" s="651" t="s">
        <v>173</v>
      </c>
      <c r="D39" s="147">
        <v>0</v>
      </c>
      <c r="E39" s="147">
        <v>0</v>
      </c>
      <c r="F39" s="147">
        <v>0</v>
      </c>
      <c r="G39" s="291">
        <v>0</v>
      </c>
      <c r="H39" s="150">
        <v>0</v>
      </c>
      <c r="I39" s="567">
        <f t="shared" si="0"/>
        <v>0</v>
      </c>
    </row>
    <row r="40" spans="1:9" x14ac:dyDescent="0.15">
      <c r="A40" s="138"/>
      <c r="B40" s="521" t="s">
        <v>1584</v>
      </c>
      <c r="C40" s="138" t="s">
        <v>178</v>
      </c>
      <c r="D40" s="147">
        <v>0</v>
      </c>
      <c r="E40" s="147">
        <v>0</v>
      </c>
      <c r="F40" s="147">
        <v>0</v>
      </c>
      <c r="G40" s="291">
        <v>0</v>
      </c>
      <c r="H40" s="150">
        <v>0</v>
      </c>
      <c r="I40" s="567">
        <f t="shared" si="0"/>
        <v>0</v>
      </c>
    </row>
    <row r="41" spans="1:9" x14ac:dyDescent="0.15">
      <c r="A41" s="138"/>
      <c r="B41" s="521" t="s">
        <v>174</v>
      </c>
      <c r="C41" s="138" t="s">
        <v>179</v>
      </c>
      <c r="D41" s="147">
        <v>0</v>
      </c>
      <c r="E41" s="147">
        <v>0</v>
      </c>
      <c r="F41" s="147">
        <v>0</v>
      </c>
      <c r="G41" s="291">
        <v>0</v>
      </c>
      <c r="H41" s="150">
        <v>0</v>
      </c>
      <c r="I41" s="567">
        <f t="shared" si="0"/>
        <v>0</v>
      </c>
    </row>
    <row r="42" spans="1:9" x14ac:dyDescent="0.15">
      <c r="A42" s="138"/>
      <c r="B42" s="521" t="s">
        <v>175</v>
      </c>
      <c r="C42" s="138" t="s">
        <v>180</v>
      </c>
      <c r="D42" s="147">
        <v>0</v>
      </c>
      <c r="E42" s="147">
        <v>0</v>
      </c>
      <c r="F42" s="147">
        <v>0</v>
      </c>
      <c r="G42" s="291">
        <v>0</v>
      </c>
      <c r="H42" s="150">
        <v>0</v>
      </c>
      <c r="I42" s="567">
        <f t="shared" si="0"/>
        <v>0</v>
      </c>
    </row>
    <row r="43" spans="1:9" ht="11.25" thickBot="1" x14ac:dyDescent="0.2">
      <c r="A43" s="138"/>
      <c r="B43" s="521" t="s">
        <v>176</v>
      </c>
      <c r="C43" s="138" t="s">
        <v>181</v>
      </c>
      <c r="D43" s="147">
        <v>0</v>
      </c>
      <c r="E43" s="147">
        <v>0</v>
      </c>
      <c r="F43" s="147">
        <v>0</v>
      </c>
      <c r="G43" s="291">
        <v>0</v>
      </c>
      <c r="H43" s="150">
        <v>0</v>
      </c>
      <c r="I43" s="567">
        <f t="shared" si="0"/>
        <v>0</v>
      </c>
    </row>
    <row r="44" spans="1:9" ht="12" thickTop="1" thickBot="1" x14ac:dyDescent="0.2">
      <c r="A44" s="138"/>
      <c r="B44" s="521"/>
      <c r="C44" s="138" t="s">
        <v>184</v>
      </c>
      <c r="D44" s="169">
        <f>SUM(D11:D43)</f>
        <v>0</v>
      </c>
      <c r="E44" s="169">
        <f>SUM(E11:E43)</f>
        <v>0</v>
      </c>
      <c r="F44" s="169">
        <f>SUM(F11:F43)</f>
        <v>0</v>
      </c>
      <c r="G44" s="169">
        <f>SUM(G11:G43)</f>
        <v>0</v>
      </c>
      <c r="H44" s="169">
        <f>SUM(H11:H43)</f>
        <v>0</v>
      </c>
      <c r="I44" s="169">
        <f t="shared" si="0"/>
        <v>0</v>
      </c>
    </row>
    <row r="45" spans="1:9" ht="11.25" thickTop="1" x14ac:dyDescent="0.15">
      <c r="A45" s="138"/>
      <c r="B45" s="521"/>
      <c r="C45" s="138"/>
      <c r="D45" s="14"/>
      <c r="E45" s="14"/>
      <c r="F45" s="14"/>
      <c r="G45" s="14"/>
      <c r="H45" s="14"/>
      <c r="I45" s="563"/>
    </row>
    <row r="46" spans="1:9" x14ac:dyDescent="0.15">
      <c r="A46" s="512" t="s">
        <v>71</v>
      </c>
      <c r="B46" s="138"/>
      <c r="C46" s="138"/>
      <c r="D46" s="14"/>
      <c r="E46" s="14"/>
      <c r="F46" s="14"/>
      <c r="G46" s="14"/>
      <c r="H46" s="14"/>
      <c r="I46" s="563"/>
    </row>
    <row r="47" spans="1:9" s="434" customFormat="1" x14ac:dyDescent="0.15">
      <c r="B47" s="523" t="s">
        <v>1577</v>
      </c>
      <c r="C47" s="524" t="s">
        <v>228</v>
      </c>
      <c r="D47" s="316">
        <v>0</v>
      </c>
      <c r="E47" s="316">
        <v>0</v>
      </c>
      <c r="F47" s="316">
        <v>0</v>
      </c>
      <c r="G47" s="528">
        <f t="array" ref="G47">SUM(IF(CertFund&amp;CertProg&amp;CertObj=RIGHT(LEFT($A$2,7),2)&amp;LEFT(A46,4)&amp;B47,CertSalary))</f>
        <v>0</v>
      </c>
      <c r="H47" s="527">
        <v>0</v>
      </c>
      <c r="I47" s="566">
        <f>SUM(G47+H47)</f>
        <v>0</v>
      </c>
    </row>
    <row r="48" spans="1:9" s="434" customFormat="1" x14ac:dyDescent="0.15">
      <c r="B48" s="523" t="s">
        <v>1577</v>
      </c>
      <c r="C48" s="524" t="s">
        <v>510</v>
      </c>
      <c r="D48" s="316">
        <v>0</v>
      </c>
      <c r="E48" s="316">
        <v>0</v>
      </c>
      <c r="F48" s="316">
        <v>0</v>
      </c>
      <c r="G48" s="316">
        <v>0</v>
      </c>
      <c r="H48" s="527">
        <v>0</v>
      </c>
      <c r="I48" s="566">
        <f>SUM(G48+H48)</f>
        <v>0</v>
      </c>
    </row>
    <row r="49" spans="1:10" s="434" customFormat="1" x14ac:dyDescent="0.15">
      <c r="A49" s="524"/>
      <c r="B49" s="523" t="s">
        <v>1578</v>
      </c>
      <c r="C49" s="524" t="s">
        <v>936</v>
      </c>
      <c r="D49" s="316">
        <v>0</v>
      </c>
      <c r="E49" s="316">
        <v>0</v>
      </c>
      <c r="F49" s="316">
        <v>0</v>
      </c>
      <c r="G49" s="529">
        <f t="array" ref="G49">SUM(IF(CertFund&amp;CertProg&amp;CertObj=RIGHT(LEFT($A$2,7),2)&amp;LEFT(A46,4)&amp;B47,CertBen))</f>
        <v>0</v>
      </c>
      <c r="H49" s="527">
        <v>0</v>
      </c>
      <c r="I49" s="566">
        <f>SUM(G49+H49)</f>
        <v>0</v>
      </c>
    </row>
    <row r="50" spans="1:10" x14ac:dyDescent="0.15">
      <c r="A50" s="138"/>
      <c r="B50" s="521" t="s">
        <v>1578</v>
      </c>
      <c r="C50" s="138" t="s">
        <v>511</v>
      </c>
      <c r="D50" s="147">
        <v>0</v>
      </c>
      <c r="E50" s="147">
        <v>0</v>
      </c>
      <c r="F50" s="147">
        <v>0</v>
      </c>
      <c r="G50" s="147">
        <v>0</v>
      </c>
      <c r="H50" s="150">
        <v>0</v>
      </c>
      <c r="I50" s="567">
        <f>SUM(G50+H50)</f>
        <v>0</v>
      </c>
      <c r="J50" s="434"/>
    </row>
    <row r="51" spans="1:10" x14ac:dyDescent="0.15">
      <c r="A51" s="138"/>
      <c r="B51" s="521" t="s">
        <v>1579</v>
      </c>
      <c r="C51" s="138" t="s">
        <v>118</v>
      </c>
      <c r="D51" s="144">
        <v>0</v>
      </c>
      <c r="E51" s="144">
        <v>0</v>
      </c>
      <c r="F51" s="144">
        <v>0</v>
      </c>
      <c r="G51" s="291">
        <v>0</v>
      </c>
      <c r="H51" s="150">
        <v>0</v>
      </c>
      <c r="I51" s="567">
        <f t="shared" ref="I51:I80" si="1">SUM(G51+H51)</f>
        <v>0</v>
      </c>
    </row>
    <row r="52" spans="1:10" x14ac:dyDescent="0.15">
      <c r="A52" s="138"/>
      <c r="B52" s="521" t="s">
        <v>1580</v>
      </c>
      <c r="C52" s="138" t="s">
        <v>119</v>
      </c>
      <c r="D52" s="144">
        <v>0</v>
      </c>
      <c r="E52" s="144">
        <v>0</v>
      </c>
      <c r="F52" s="144">
        <v>0</v>
      </c>
      <c r="G52" s="291">
        <v>0</v>
      </c>
      <c r="H52" s="150">
        <v>0</v>
      </c>
      <c r="I52" s="567">
        <f t="shared" si="1"/>
        <v>0</v>
      </c>
    </row>
    <row r="53" spans="1:10" x14ac:dyDescent="0.15">
      <c r="A53" s="138"/>
      <c r="B53" s="521" t="s">
        <v>120</v>
      </c>
      <c r="C53" s="138" t="s">
        <v>121</v>
      </c>
      <c r="D53" s="144">
        <v>0</v>
      </c>
      <c r="E53" s="144">
        <v>0</v>
      </c>
      <c r="F53" s="144">
        <v>0</v>
      </c>
      <c r="G53" s="291">
        <v>0</v>
      </c>
      <c r="H53" s="150">
        <v>0</v>
      </c>
      <c r="I53" s="567">
        <f t="shared" si="1"/>
        <v>0</v>
      </c>
    </row>
    <row r="54" spans="1:10" x14ac:dyDescent="0.15">
      <c r="A54" s="138"/>
      <c r="B54" s="521" t="s">
        <v>122</v>
      </c>
      <c r="C54" s="138" t="s">
        <v>123</v>
      </c>
      <c r="D54" s="144">
        <v>0</v>
      </c>
      <c r="E54" s="144">
        <v>0</v>
      </c>
      <c r="F54" s="144">
        <v>0</v>
      </c>
      <c r="G54" s="291">
        <v>0</v>
      </c>
      <c r="H54" s="150">
        <v>0</v>
      </c>
      <c r="I54" s="567">
        <f t="shared" si="1"/>
        <v>0</v>
      </c>
    </row>
    <row r="55" spans="1:10" x14ac:dyDescent="0.15">
      <c r="A55" s="138"/>
      <c r="B55" s="521" t="s">
        <v>1581</v>
      </c>
      <c r="C55" s="138" t="s">
        <v>124</v>
      </c>
      <c r="D55" s="144">
        <v>0</v>
      </c>
      <c r="E55" s="144">
        <v>0</v>
      </c>
      <c r="F55" s="144">
        <v>0</v>
      </c>
      <c r="G55" s="291">
        <v>0</v>
      </c>
      <c r="H55" s="150">
        <v>0</v>
      </c>
      <c r="I55" s="567">
        <f t="shared" si="1"/>
        <v>0</v>
      </c>
    </row>
    <row r="56" spans="1:10" x14ac:dyDescent="0.15">
      <c r="A56" s="138"/>
      <c r="B56" s="521" t="s">
        <v>127</v>
      </c>
      <c r="C56" s="138" t="s">
        <v>134</v>
      </c>
      <c r="D56" s="144">
        <v>0</v>
      </c>
      <c r="E56" s="144">
        <v>0</v>
      </c>
      <c r="F56" s="144">
        <v>0</v>
      </c>
      <c r="G56" s="291">
        <v>0</v>
      </c>
      <c r="H56" s="150">
        <v>0</v>
      </c>
      <c r="I56" s="567">
        <f t="shared" si="1"/>
        <v>0</v>
      </c>
    </row>
    <row r="57" spans="1:10" x14ac:dyDescent="0.15">
      <c r="A57" s="138"/>
      <c r="B57" s="521" t="s">
        <v>132</v>
      </c>
      <c r="C57" s="138" t="s">
        <v>1617</v>
      </c>
      <c r="D57" s="144">
        <v>0</v>
      </c>
      <c r="E57" s="144">
        <v>0</v>
      </c>
      <c r="F57" s="144">
        <v>0</v>
      </c>
      <c r="G57" s="291">
        <v>0</v>
      </c>
      <c r="H57" s="150">
        <v>0</v>
      </c>
      <c r="I57" s="567">
        <f t="shared" si="1"/>
        <v>0</v>
      </c>
    </row>
    <row r="58" spans="1:10" x14ac:dyDescent="0.15">
      <c r="A58" s="138"/>
      <c r="B58" s="521" t="s">
        <v>1618</v>
      </c>
      <c r="C58" s="138" t="s">
        <v>836</v>
      </c>
      <c r="D58" s="144">
        <v>0</v>
      </c>
      <c r="E58" s="144">
        <v>0</v>
      </c>
      <c r="F58" s="144">
        <v>0</v>
      </c>
      <c r="G58" s="291">
        <v>0</v>
      </c>
      <c r="H58" s="150">
        <v>0</v>
      </c>
      <c r="I58" s="567">
        <f t="shared" si="1"/>
        <v>0</v>
      </c>
    </row>
    <row r="59" spans="1:10" x14ac:dyDescent="0.15">
      <c r="A59" s="138"/>
      <c r="B59" s="521" t="s">
        <v>1619</v>
      </c>
      <c r="C59" s="138" t="s">
        <v>185</v>
      </c>
      <c r="D59" s="144">
        <v>0</v>
      </c>
      <c r="E59" s="144">
        <v>0</v>
      </c>
      <c r="F59" s="144">
        <v>0</v>
      </c>
      <c r="G59" s="291">
        <v>0</v>
      </c>
      <c r="H59" s="150">
        <v>0</v>
      </c>
      <c r="I59" s="567">
        <f t="shared" si="1"/>
        <v>0</v>
      </c>
    </row>
    <row r="60" spans="1:10" x14ac:dyDescent="0.15">
      <c r="A60" s="138"/>
      <c r="B60" s="521" t="s">
        <v>1620</v>
      </c>
      <c r="C60" s="138" t="s">
        <v>838</v>
      </c>
      <c r="D60" s="144">
        <v>0</v>
      </c>
      <c r="E60" s="144">
        <v>0</v>
      </c>
      <c r="F60" s="144">
        <v>0</v>
      </c>
      <c r="G60" s="291">
        <v>0</v>
      </c>
      <c r="H60" s="150">
        <v>0</v>
      </c>
      <c r="I60" s="567">
        <f t="shared" si="1"/>
        <v>0</v>
      </c>
    </row>
    <row r="61" spans="1:10" x14ac:dyDescent="0.15">
      <c r="A61" s="138"/>
      <c r="B61" s="521" t="s">
        <v>1621</v>
      </c>
      <c r="C61" s="138" t="s">
        <v>839</v>
      </c>
      <c r="D61" s="144">
        <v>0</v>
      </c>
      <c r="E61" s="144">
        <v>0</v>
      </c>
      <c r="F61" s="144">
        <v>0</v>
      </c>
      <c r="G61" s="291">
        <v>0</v>
      </c>
      <c r="H61" s="150">
        <v>0</v>
      </c>
      <c r="I61" s="567">
        <f t="shared" si="1"/>
        <v>0</v>
      </c>
    </row>
    <row r="62" spans="1:10" x14ac:dyDescent="0.15">
      <c r="A62" s="138"/>
      <c r="B62" s="521" t="s">
        <v>1622</v>
      </c>
      <c r="C62" s="138" t="s">
        <v>190</v>
      </c>
      <c r="D62" s="144">
        <v>0</v>
      </c>
      <c r="E62" s="144">
        <v>0</v>
      </c>
      <c r="F62" s="144">
        <v>0</v>
      </c>
      <c r="G62" s="291">
        <v>0</v>
      </c>
      <c r="H62" s="150">
        <v>0</v>
      </c>
      <c r="I62" s="567">
        <f t="shared" si="1"/>
        <v>0</v>
      </c>
    </row>
    <row r="63" spans="1:10" x14ac:dyDescent="0.15">
      <c r="A63" s="138"/>
      <c r="B63" s="521" t="s">
        <v>1623</v>
      </c>
      <c r="C63" s="138" t="s">
        <v>191</v>
      </c>
      <c r="D63" s="144">
        <v>0</v>
      </c>
      <c r="E63" s="144">
        <v>0</v>
      </c>
      <c r="F63" s="144">
        <v>0</v>
      </c>
      <c r="G63" s="291">
        <v>0</v>
      </c>
      <c r="H63" s="150">
        <v>0</v>
      </c>
      <c r="I63" s="567">
        <f t="shared" si="1"/>
        <v>0</v>
      </c>
    </row>
    <row r="64" spans="1:10" x14ac:dyDescent="0.15">
      <c r="A64" s="138"/>
      <c r="B64" s="521" t="s">
        <v>1624</v>
      </c>
      <c r="C64" s="138" t="s">
        <v>840</v>
      </c>
      <c r="D64" s="144">
        <v>0</v>
      </c>
      <c r="E64" s="144">
        <v>0</v>
      </c>
      <c r="F64" s="144">
        <v>0</v>
      </c>
      <c r="G64" s="291">
        <v>0</v>
      </c>
      <c r="H64" s="150">
        <v>0</v>
      </c>
      <c r="I64" s="567">
        <f t="shared" si="1"/>
        <v>0</v>
      </c>
    </row>
    <row r="65" spans="1:9" x14ac:dyDescent="0.15">
      <c r="A65" s="138"/>
      <c r="B65" s="521" t="s">
        <v>1625</v>
      </c>
      <c r="C65" s="138" t="s">
        <v>842</v>
      </c>
      <c r="D65" s="144">
        <v>0</v>
      </c>
      <c r="E65" s="144">
        <v>0</v>
      </c>
      <c r="F65" s="144">
        <v>0</v>
      </c>
      <c r="G65" s="291">
        <v>0</v>
      </c>
      <c r="H65" s="150">
        <v>0</v>
      </c>
      <c r="I65" s="567">
        <f t="shared" si="1"/>
        <v>0</v>
      </c>
    </row>
    <row r="66" spans="1:9" x14ac:dyDescent="0.15">
      <c r="A66" s="138"/>
      <c r="B66" s="521" t="s">
        <v>843</v>
      </c>
      <c r="C66" s="138" t="s">
        <v>848</v>
      </c>
      <c r="D66" s="144">
        <v>0</v>
      </c>
      <c r="E66" s="144">
        <v>0</v>
      </c>
      <c r="F66" s="144">
        <v>0</v>
      </c>
      <c r="G66" s="291">
        <v>0</v>
      </c>
      <c r="H66" s="150">
        <v>0</v>
      </c>
      <c r="I66" s="567">
        <f t="shared" si="1"/>
        <v>0</v>
      </c>
    </row>
    <row r="67" spans="1:9" x14ac:dyDescent="0.15">
      <c r="A67" s="138"/>
      <c r="B67" s="521" t="s">
        <v>844</v>
      </c>
      <c r="C67" s="138" t="s">
        <v>186</v>
      </c>
      <c r="D67" s="144">
        <v>0</v>
      </c>
      <c r="E67" s="144">
        <v>0</v>
      </c>
      <c r="F67" s="144">
        <v>0</v>
      </c>
      <c r="G67" s="291">
        <v>0</v>
      </c>
      <c r="H67" s="150">
        <v>0</v>
      </c>
      <c r="I67" s="567">
        <f t="shared" si="1"/>
        <v>0</v>
      </c>
    </row>
    <row r="68" spans="1:9" x14ac:dyDescent="0.15">
      <c r="A68" s="138"/>
      <c r="B68" s="521" t="s">
        <v>845</v>
      </c>
      <c r="C68" s="138" t="s">
        <v>154</v>
      </c>
      <c r="D68" s="144">
        <v>0</v>
      </c>
      <c r="E68" s="144">
        <v>0</v>
      </c>
      <c r="F68" s="144">
        <v>0</v>
      </c>
      <c r="G68" s="291">
        <v>0</v>
      </c>
      <c r="H68" s="150">
        <v>0</v>
      </c>
      <c r="I68" s="567">
        <f t="shared" si="1"/>
        <v>0</v>
      </c>
    </row>
    <row r="69" spans="1:9" x14ac:dyDescent="0.15">
      <c r="A69" s="138"/>
      <c r="B69" s="521" t="s">
        <v>846</v>
      </c>
      <c r="C69" s="138" t="s">
        <v>155</v>
      </c>
      <c r="D69" s="144">
        <v>0</v>
      </c>
      <c r="E69" s="144">
        <v>0</v>
      </c>
      <c r="F69" s="144">
        <v>0</v>
      </c>
      <c r="G69" s="291">
        <v>0</v>
      </c>
      <c r="H69" s="150">
        <v>0</v>
      </c>
      <c r="I69" s="567">
        <f t="shared" si="1"/>
        <v>0</v>
      </c>
    </row>
    <row r="70" spans="1:9" x14ac:dyDescent="0.15">
      <c r="A70" s="138"/>
      <c r="B70" s="521" t="s">
        <v>1582</v>
      </c>
      <c r="C70" s="138" t="s">
        <v>156</v>
      </c>
      <c r="D70" s="144">
        <v>0</v>
      </c>
      <c r="E70" s="144">
        <v>0</v>
      </c>
      <c r="F70" s="144">
        <v>0</v>
      </c>
      <c r="G70" s="291">
        <v>0</v>
      </c>
      <c r="H70" s="150">
        <v>0</v>
      </c>
      <c r="I70" s="567">
        <f t="shared" si="1"/>
        <v>0</v>
      </c>
    </row>
    <row r="71" spans="1:9" x14ac:dyDescent="0.15">
      <c r="A71" s="138"/>
      <c r="B71" s="521" t="s">
        <v>847</v>
      </c>
      <c r="C71" s="138" t="s">
        <v>157</v>
      </c>
      <c r="D71" s="144">
        <v>0</v>
      </c>
      <c r="E71" s="144">
        <v>0</v>
      </c>
      <c r="F71" s="144">
        <v>0</v>
      </c>
      <c r="G71" s="291">
        <v>0</v>
      </c>
      <c r="H71" s="150">
        <v>0</v>
      </c>
      <c r="I71" s="567">
        <f t="shared" si="1"/>
        <v>0</v>
      </c>
    </row>
    <row r="72" spans="1:9" x14ac:dyDescent="0.15">
      <c r="A72" s="138"/>
      <c r="B72" s="521" t="s">
        <v>1583</v>
      </c>
      <c r="C72" s="138" t="s">
        <v>160</v>
      </c>
      <c r="D72" s="144">
        <v>0</v>
      </c>
      <c r="E72" s="144">
        <v>0</v>
      </c>
      <c r="F72" s="144">
        <v>0</v>
      </c>
      <c r="G72" s="291">
        <v>0</v>
      </c>
      <c r="H72" s="150">
        <v>0</v>
      </c>
      <c r="I72" s="567">
        <f t="shared" si="1"/>
        <v>0</v>
      </c>
    </row>
    <row r="73" spans="1:9" x14ac:dyDescent="0.15">
      <c r="A73" s="138"/>
      <c r="B73" s="521" t="s">
        <v>634</v>
      </c>
      <c r="C73" s="138" t="s">
        <v>165</v>
      </c>
      <c r="D73" s="144">
        <v>0</v>
      </c>
      <c r="E73" s="144">
        <v>0</v>
      </c>
      <c r="F73" s="144">
        <v>0</v>
      </c>
      <c r="G73" s="291">
        <v>0</v>
      </c>
      <c r="H73" s="150">
        <v>0</v>
      </c>
      <c r="I73" s="567">
        <f t="shared" si="1"/>
        <v>0</v>
      </c>
    </row>
    <row r="74" spans="1:9" x14ac:dyDescent="0.15">
      <c r="A74" s="138"/>
      <c r="B74" s="521" t="s">
        <v>630</v>
      </c>
      <c r="C74" s="138" t="s">
        <v>172</v>
      </c>
      <c r="D74" s="144">
        <v>0</v>
      </c>
      <c r="E74" s="144">
        <v>0</v>
      </c>
      <c r="F74" s="144">
        <v>0</v>
      </c>
      <c r="G74" s="291">
        <v>0</v>
      </c>
      <c r="H74" s="150">
        <v>0</v>
      </c>
      <c r="I74" s="567">
        <f t="shared" si="1"/>
        <v>0</v>
      </c>
    </row>
    <row r="75" spans="1:9" x14ac:dyDescent="0.15">
      <c r="A75" s="138"/>
      <c r="B75" s="650" t="s">
        <v>631</v>
      </c>
      <c r="C75" s="651" t="s">
        <v>173</v>
      </c>
      <c r="D75" s="144">
        <v>0</v>
      </c>
      <c r="E75" s="144">
        <v>0</v>
      </c>
      <c r="F75" s="144">
        <v>0</v>
      </c>
      <c r="G75" s="291">
        <v>0</v>
      </c>
      <c r="H75" s="150">
        <v>0</v>
      </c>
      <c r="I75" s="567">
        <f t="shared" si="1"/>
        <v>0</v>
      </c>
    </row>
    <row r="76" spans="1:9" x14ac:dyDescent="0.15">
      <c r="A76" s="138"/>
      <c r="B76" s="521" t="s">
        <v>1584</v>
      </c>
      <c r="C76" s="138" t="s">
        <v>178</v>
      </c>
      <c r="D76" s="144">
        <v>0</v>
      </c>
      <c r="E76" s="144">
        <v>0</v>
      </c>
      <c r="F76" s="144">
        <v>0</v>
      </c>
      <c r="G76" s="291">
        <v>0</v>
      </c>
      <c r="H76" s="150">
        <v>0</v>
      </c>
      <c r="I76" s="567">
        <f t="shared" si="1"/>
        <v>0</v>
      </c>
    </row>
    <row r="77" spans="1:9" x14ac:dyDescent="0.15">
      <c r="A77" s="138"/>
      <c r="B77" s="521" t="s">
        <v>174</v>
      </c>
      <c r="C77" s="138" t="s">
        <v>179</v>
      </c>
      <c r="D77" s="144">
        <v>0</v>
      </c>
      <c r="E77" s="144">
        <v>0</v>
      </c>
      <c r="F77" s="144">
        <v>0</v>
      </c>
      <c r="G77" s="291">
        <v>0</v>
      </c>
      <c r="H77" s="150">
        <v>0</v>
      </c>
      <c r="I77" s="567">
        <f t="shared" si="1"/>
        <v>0</v>
      </c>
    </row>
    <row r="78" spans="1:9" x14ac:dyDescent="0.15">
      <c r="A78" s="138"/>
      <c r="B78" s="521" t="s">
        <v>175</v>
      </c>
      <c r="C78" s="138" t="s">
        <v>180</v>
      </c>
      <c r="D78" s="144">
        <v>0</v>
      </c>
      <c r="E78" s="144">
        <v>0</v>
      </c>
      <c r="F78" s="144">
        <v>0</v>
      </c>
      <c r="G78" s="291">
        <v>0</v>
      </c>
      <c r="H78" s="150">
        <v>0</v>
      </c>
      <c r="I78" s="567">
        <f t="shared" si="1"/>
        <v>0</v>
      </c>
    </row>
    <row r="79" spans="1:9" ht="11.25" thickBot="1" x14ac:dyDescent="0.2">
      <c r="A79" s="138"/>
      <c r="B79" s="521" t="s">
        <v>176</v>
      </c>
      <c r="C79" s="138" t="s">
        <v>181</v>
      </c>
      <c r="D79" s="144">
        <v>0</v>
      </c>
      <c r="E79" s="144">
        <v>0</v>
      </c>
      <c r="F79" s="144">
        <v>0</v>
      </c>
      <c r="G79" s="291">
        <v>0</v>
      </c>
      <c r="H79" s="150">
        <v>0</v>
      </c>
      <c r="I79" s="567">
        <f t="shared" si="1"/>
        <v>0</v>
      </c>
    </row>
    <row r="80" spans="1:9" ht="12" thickTop="1" thickBot="1" x14ac:dyDescent="0.2">
      <c r="A80" s="138"/>
      <c r="B80" s="521"/>
      <c r="C80" s="138" t="s">
        <v>72</v>
      </c>
      <c r="D80" s="169">
        <f>SUM(D47:D79)</f>
        <v>0</v>
      </c>
      <c r="E80" s="169">
        <f>SUM(E47:E79)</f>
        <v>0</v>
      </c>
      <c r="F80" s="169">
        <f>SUM(F47:F79)</f>
        <v>0</v>
      </c>
      <c r="G80" s="169">
        <f>SUM(G47:G79)</f>
        <v>0</v>
      </c>
      <c r="H80" s="169">
        <f>SUM(H47:H79)</f>
        <v>0</v>
      </c>
      <c r="I80" s="169">
        <f t="shared" si="1"/>
        <v>0</v>
      </c>
    </row>
    <row r="81" spans="1:10" ht="11.25" thickTop="1" x14ac:dyDescent="0.15">
      <c r="A81" s="138"/>
      <c r="B81" s="138"/>
      <c r="C81" s="138"/>
      <c r="D81" s="14"/>
      <c r="E81" s="14"/>
      <c r="F81" s="14"/>
      <c r="G81" s="14"/>
      <c r="H81" s="14"/>
      <c r="I81" s="563"/>
    </row>
    <row r="82" spans="1:10" x14ac:dyDescent="0.15">
      <c r="A82" s="512" t="s">
        <v>70</v>
      </c>
      <c r="B82" s="512"/>
      <c r="C82" s="512"/>
      <c r="D82" s="14"/>
      <c r="E82" s="14"/>
      <c r="F82" s="14"/>
      <c r="G82" s="14"/>
      <c r="H82" s="14"/>
      <c r="I82" s="563"/>
    </row>
    <row r="83" spans="1:10" s="434" customFormat="1" x14ac:dyDescent="0.15">
      <c r="B83" s="523" t="s">
        <v>1577</v>
      </c>
      <c r="C83" s="524" t="s">
        <v>228</v>
      </c>
      <c r="D83" s="316">
        <v>0</v>
      </c>
      <c r="E83" s="316">
        <v>0</v>
      </c>
      <c r="F83" s="316">
        <v>0</v>
      </c>
      <c r="G83" s="528">
        <f t="array" ref="G83">SUM(IF(CertFund&amp;CertProg&amp;CertObj=RIGHT(LEFT($A$2,7),2)&amp;LEFT(A82,4)&amp;B83,CertSalary))</f>
        <v>0</v>
      </c>
      <c r="H83" s="527">
        <v>0</v>
      </c>
      <c r="I83" s="566">
        <f>SUM(G83+H83)</f>
        <v>0</v>
      </c>
    </row>
    <row r="84" spans="1:10" s="434" customFormat="1" x14ac:dyDescent="0.15">
      <c r="B84" s="523" t="s">
        <v>1577</v>
      </c>
      <c r="C84" s="524" t="s">
        <v>510</v>
      </c>
      <c r="D84" s="316">
        <v>0</v>
      </c>
      <c r="E84" s="316">
        <v>0</v>
      </c>
      <c r="F84" s="316">
        <v>0</v>
      </c>
      <c r="G84" s="316">
        <v>0</v>
      </c>
      <c r="H84" s="527">
        <v>0</v>
      </c>
      <c r="I84" s="566">
        <f>SUM(G84+H84)</f>
        <v>0</v>
      </c>
    </row>
    <row r="85" spans="1:10" s="434" customFormat="1" x14ac:dyDescent="0.15">
      <c r="A85" s="524"/>
      <c r="B85" s="523" t="s">
        <v>1578</v>
      </c>
      <c r="C85" s="524" t="s">
        <v>936</v>
      </c>
      <c r="D85" s="316">
        <v>0</v>
      </c>
      <c r="E85" s="316">
        <v>0</v>
      </c>
      <c r="F85" s="316">
        <v>0</v>
      </c>
      <c r="G85" s="529">
        <f t="array" ref="G85">SUM(IF(CertFund&amp;CertProg&amp;CertObj=RIGHT(LEFT($A$2,7),2)&amp;LEFT(A82,4)&amp;B83,CertBen))</f>
        <v>0</v>
      </c>
      <c r="H85" s="527">
        <v>0</v>
      </c>
      <c r="I85" s="566">
        <f>SUM(G85+H85)</f>
        <v>0</v>
      </c>
    </row>
    <row r="86" spans="1:10" x14ac:dyDescent="0.15">
      <c r="A86" s="138"/>
      <c r="B86" s="521" t="s">
        <v>1578</v>
      </c>
      <c r="C86" s="138" t="s">
        <v>511</v>
      </c>
      <c r="D86" s="147">
        <v>0</v>
      </c>
      <c r="E86" s="147">
        <v>0</v>
      </c>
      <c r="F86" s="147">
        <v>0</v>
      </c>
      <c r="G86" s="147">
        <v>0</v>
      </c>
      <c r="H86" s="150">
        <v>0</v>
      </c>
      <c r="I86" s="567">
        <f>SUM(G86+H86)</f>
        <v>0</v>
      </c>
      <c r="J86" s="434"/>
    </row>
    <row r="87" spans="1:10" x14ac:dyDescent="0.15">
      <c r="A87" s="138"/>
      <c r="B87" s="521" t="s">
        <v>1579</v>
      </c>
      <c r="C87" s="138" t="s">
        <v>118</v>
      </c>
      <c r="D87" s="144">
        <v>0</v>
      </c>
      <c r="E87" s="144">
        <v>0</v>
      </c>
      <c r="F87" s="144">
        <v>0</v>
      </c>
      <c r="G87" s="291">
        <v>0</v>
      </c>
      <c r="H87" s="150">
        <v>0</v>
      </c>
      <c r="I87" s="567">
        <f t="shared" ref="I87:I116" si="2">SUM(G87+H87)</f>
        <v>0</v>
      </c>
    </row>
    <row r="88" spans="1:10" x14ac:dyDescent="0.15">
      <c r="A88" s="138"/>
      <c r="B88" s="521" t="s">
        <v>1580</v>
      </c>
      <c r="C88" s="138" t="s">
        <v>119</v>
      </c>
      <c r="D88" s="144">
        <v>0</v>
      </c>
      <c r="E88" s="144">
        <v>0</v>
      </c>
      <c r="F88" s="144">
        <v>0</v>
      </c>
      <c r="G88" s="291">
        <v>0</v>
      </c>
      <c r="H88" s="150">
        <v>0</v>
      </c>
      <c r="I88" s="567">
        <f t="shared" si="2"/>
        <v>0</v>
      </c>
    </row>
    <row r="89" spans="1:10" x14ac:dyDescent="0.15">
      <c r="A89" s="138"/>
      <c r="B89" s="521" t="s">
        <v>120</v>
      </c>
      <c r="C89" s="138" t="s">
        <v>121</v>
      </c>
      <c r="D89" s="144">
        <v>0</v>
      </c>
      <c r="E89" s="144">
        <v>0</v>
      </c>
      <c r="F89" s="144">
        <v>0</v>
      </c>
      <c r="G89" s="291">
        <v>0</v>
      </c>
      <c r="H89" s="150">
        <v>0</v>
      </c>
      <c r="I89" s="567">
        <f t="shared" si="2"/>
        <v>0</v>
      </c>
    </row>
    <row r="90" spans="1:10" x14ac:dyDescent="0.15">
      <c r="A90" s="138"/>
      <c r="B90" s="521" t="s">
        <v>122</v>
      </c>
      <c r="C90" s="138" t="s">
        <v>123</v>
      </c>
      <c r="D90" s="144">
        <v>0</v>
      </c>
      <c r="E90" s="144">
        <v>0</v>
      </c>
      <c r="F90" s="144">
        <v>0</v>
      </c>
      <c r="G90" s="291">
        <v>0</v>
      </c>
      <c r="H90" s="150">
        <v>0</v>
      </c>
      <c r="I90" s="567">
        <f t="shared" si="2"/>
        <v>0</v>
      </c>
    </row>
    <row r="91" spans="1:10" x14ac:dyDescent="0.15">
      <c r="A91" s="138"/>
      <c r="B91" s="521" t="s">
        <v>1581</v>
      </c>
      <c r="C91" s="138" t="s">
        <v>124</v>
      </c>
      <c r="D91" s="144">
        <v>0</v>
      </c>
      <c r="E91" s="144">
        <v>0</v>
      </c>
      <c r="F91" s="144">
        <v>0</v>
      </c>
      <c r="G91" s="291">
        <v>0</v>
      </c>
      <c r="H91" s="150">
        <v>0</v>
      </c>
      <c r="I91" s="567">
        <f t="shared" si="2"/>
        <v>0</v>
      </c>
    </row>
    <row r="92" spans="1:10" x14ac:dyDescent="0.15">
      <c r="A92" s="138"/>
      <c r="B92" s="521" t="s">
        <v>127</v>
      </c>
      <c r="C92" s="138" t="s">
        <v>134</v>
      </c>
      <c r="D92" s="144">
        <v>0</v>
      </c>
      <c r="E92" s="144">
        <v>0</v>
      </c>
      <c r="F92" s="144">
        <v>0</v>
      </c>
      <c r="G92" s="291">
        <v>0</v>
      </c>
      <c r="H92" s="150">
        <v>0</v>
      </c>
      <c r="I92" s="567">
        <f t="shared" si="2"/>
        <v>0</v>
      </c>
    </row>
    <row r="93" spans="1:10" x14ac:dyDescent="0.15">
      <c r="A93" s="138"/>
      <c r="B93" s="521" t="s">
        <v>132</v>
      </c>
      <c r="C93" s="138" t="s">
        <v>1617</v>
      </c>
      <c r="D93" s="144">
        <v>0</v>
      </c>
      <c r="E93" s="144">
        <v>0</v>
      </c>
      <c r="F93" s="144">
        <v>0</v>
      </c>
      <c r="G93" s="291">
        <v>0</v>
      </c>
      <c r="H93" s="150">
        <v>0</v>
      </c>
      <c r="I93" s="567">
        <f t="shared" si="2"/>
        <v>0</v>
      </c>
    </row>
    <row r="94" spans="1:10" x14ac:dyDescent="0.15">
      <c r="A94" s="138"/>
      <c r="B94" s="521" t="s">
        <v>1618</v>
      </c>
      <c r="C94" s="138" t="s">
        <v>836</v>
      </c>
      <c r="D94" s="144">
        <v>0</v>
      </c>
      <c r="E94" s="144">
        <v>0</v>
      </c>
      <c r="F94" s="144">
        <v>0</v>
      </c>
      <c r="G94" s="291">
        <v>0</v>
      </c>
      <c r="H94" s="150">
        <v>0</v>
      </c>
      <c r="I94" s="567">
        <f t="shared" si="2"/>
        <v>0</v>
      </c>
    </row>
    <row r="95" spans="1:10" x14ac:dyDescent="0.15">
      <c r="A95" s="138"/>
      <c r="B95" s="521" t="s">
        <v>1619</v>
      </c>
      <c r="C95" s="138" t="s">
        <v>185</v>
      </c>
      <c r="D95" s="144">
        <v>0</v>
      </c>
      <c r="E95" s="144">
        <v>0</v>
      </c>
      <c r="F95" s="144">
        <v>0</v>
      </c>
      <c r="G95" s="291">
        <v>0</v>
      </c>
      <c r="H95" s="150">
        <v>0</v>
      </c>
      <c r="I95" s="567">
        <f t="shared" si="2"/>
        <v>0</v>
      </c>
    </row>
    <row r="96" spans="1:10" x14ac:dyDescent="0.15">
      <c r="A96" s="138"/>
      <c r="B96" s="521" t="s">
        <v>1620</v>
      </c>
      <c r="C96" s="138" t="s">
        <v>838</v>
      </c>
      <c r="D96" s="144">
        <v>0</v>
      </c>
      <c r="E96" s="144">
        <v>0</v>
      </c>
      <c r="F96" s="144">
        <v>0</v>
      </c>
      <c r="G96" s="291">
        <v>0</v>
      </c>
      <c r="H96" s="150">
        <v>0</v>
      </c>
      <c r="I96" s="567">
        <f t="shared" si="2"/>
        <v>0</v>
      </c>
    </row>
    <row r="97" spans="1:9" x14ac:dyDescent="0.15">
      <c r="A97" s="138"/>
      <c r="B97" s="521" t="s">
        <v>1621</v>
      </c>
      <c r="C97" s="138" t="s">
        <v>839</v>
      </c>
      <c r="D97" s="144">
        <v>0</v>
      </c>
      <c r="E97" s="144">
        <v>0</v>
      </c>
      <c r="F97" s="144">
        <v>0</v>
      </c>
      <c r="G97" s="291">
        <v>0</v>
      </c>
      <c r="H97" s="150">
        <v>0</v>
      </c>
      <c r="I97" s="567">
        <f t="shared" si="2"/>
        <v>0</v>
      </c>
    </row>
    <row r="98" spans="1:9" x14ac:dyDescent="0.15">
      <c r="A98" s="138"/>
      <c r="B98" s="521" t="s">
        <v>1622</v>
      </c>
      <c r="C98" s="138" t="s">
        <v>190</v>
      </c>
      <c r="D98" s="144">
        <v>0</v>
      </c>
      <c r="E98" s="144">
        <v>0</v>
      </c>
      <c r="F98" s="144">
        <v>0</v>
      </c>
      <c r="G98" s="291">
        <v>0</v>
      </c>
      <c r="H98" s="150">
        <v>0</v>
      </c>
      <c r="I98" s="567">
        <f t="shared" si="2"/>
        <v>0</v>
      </c>
    </row>
    <row r="99" spans="1:9" x14ac:dyDescent="0.15">
      <c r="A99" s="138"/>
      <c r="B99" s="521" t="s">
        <v>1623</v>
      </c>
      <c r="C99" s="138" t="s">
        <v>191</v>
      </c>
      <c r="D99" s="144">
        <v>0</v>
      </c>
      <c r="E99" s="144">
        <v>0</v>
      </c>
      <c r="F99" s="144">
        <v>0</v>
      </c>
      <c r="G99" s="291">
        <v>0</v>
      </c>
      <c r="H99" s="150">
        <v>0</v>
      </c>
      <c r="I99" s="567">
        <f t="shared" si="2"/>
        <v>0</v>
      </c>
    </row>
    <row r="100" spans="1:9" x14ac:dyDescent="0.15">
      <c r="A100" s="138"/>
      <c r="B100" s="521" t="s">
        <v>1624</v>
      </c>
      <c r="C100" s="138" t="s">
        <v>840</v>
      </c>
      <c r="D100" s="144">
        <v>0</v>
      </c>
      <c r="E100" s="144">
        <v>0</v>
      </c>
      <c r="F100" s="144">
        <v>0</v>
      </c>
      <c r="G100" s="291">
        <v>0</v>
      </c>
      <c r="H100" s="150">
        <v>0</v>
      </c>
      <c r="I100" s="567">
        <f t="shared" si="2"/>
        <v>0</v>
      </c>
    </row>
    <row r="101" spans="1:9" x14ac:dyDescent="0.15">
      <c r="A101" s="138"/>
      <c r="B101" s="521" t="s">
        <v>1625</v>
      </c>
      <c r="C101" s="138" t="s">
        <v>842</v>
      </c>
      <c r="D101" s="144">
        <v>0</v>
      </c>
      <c r="E101" s="144">
        <v>0</v>
      </c>
      <c r="F101" s="144">
        <v>0</v>
      </c>
      <c r="G101" s="291">
        <v>0</v>
      </c>
      <c r="H101" s="150">
        <v>0</v>
      </c>
      <c r="I101" s="567">
        <f t="shared" si="2"/>
        <v>0</v>
      </c>
    </row>
    <row r="102" spans="1:9" x14ac:dyDescent="0.15">
      <c r="A102" s="138"/>
      <c r="B102" s="521" t="s">
        <v>843</v>
      </c>
      <c r="C102" s="138" t="s">
        <v>848</v>
      </c>
      <c r="D102" s="144">
        <v>0</v>
      </c>
      <c r="E102" s="144">
        <v>0</v>
      </c>
      <c r="F102" s="144">
        <v>0</v>
      </c>
      <c r="G102" s="291">
        <v>0</v>
      </c>
      <c r="H102" s="150">
        <v>0</v>
      </c>
      <c r="I102" s="567">
        <f t="shared" si="2"/>
        <v>0</v>
      </c>
    </row>
    <row r="103" spans="1:9" x14ac:dyDescent="0.15">
      <c r="A103" s="138"/>
      <c r="B103" s="521" t="s">
        <v>844</v>
      </c>
      <c r="C103" s="138" t="s">
        <v>186</v>
      </c>
      <c r="D103" s="144">
        <v>0</v>
      </c>
      <c r="E103" s="144">
        <v>0</v>
      </c>
      <c r="F103" s="144">
        <v>0</v>
      </c>
      <c r="G103" s="291">
        <v>0</v>
      </c>
      <c r="H103" s="150">
        <v>0</v>
      </c>
      <c r="I103" s="567">
        <f t="shared" si="2"/>
        <v>0</v>
      </c>
    </row>
    <row r="104" spans="1:9" x14ac:dyDescent="0.15">
      <c r="A104" s="138"/>
      <c r="B104" s="521" t="s">
        <v>845</v>
      </c>
      <c r="C104" s="138" t="s">
        <v>154</v>
      </c>
      <c r="D104" s="144">
        <v>0</v>
      </c>
      <c r="E104" s="144">
        <v>0</v>
      </c>
      <c r="F104" s="144">
        <v>0</v>
      </c>
      <c r="G104" s="291">
        <v>0</v>
      </c>
      <c r="H104" s="150">
        <v>0</v>
      </c>
      <c r="I104" s="567">
        <f t="shared" si="2"/>
        <v>0</v>
      </c>
    </row>
    <row r="105" spans="1:9" x14ac:dyDescent="0.15">
      <c r="A105" s="138"/>
      <c r="B105" s="521" t="s">
        <v>846</v>
      </c>
      <c r="C105" s="138" t="s">
        <v>155</v>
      </c>
      <c r="D105" s="144">
        <v>0</v>
      </c>
      <c r="E105" s="144">
        <v>0</v>
      </c>
      <c r="F105" s="144">
        <v>0</v>
      </c>
      <c r="G105" s="291">
        <v>0</v>
      </c>
      <c r="H105" s="150">
        <v>0</v>
      </c>
      <c r="I105" s="567">
        <f t="shared" si="2"/>
        <v>0</v>
      </c>
    </row>
    <row r="106" spans="1:9" x14ac:dyDescent="0.15">
      <c r="A106" s="138"/>
      <c r="B106" s="521" t="s">
        <v>1582</v>
      </c>
      <c r="C106" s="138" t="s">
        <v>156</v>
      </c>
      <c r="D106" s="144">
        <v>0</v>
      </c>
      <c r="E106" s="144">
        <v>0</v>
      </c>
      <c r="F106" s="144">
        <v>0</v>
      </c>
      <c r="G106" s="291">
        <v>0</v>
      </c>
      <c r="H106" s="150">
        <v>0</v>
      </c>
      <c r="I106" s="567">
        <f t="shared" si="2"/>
        <v>0</v>
      </c>
    </row>
    <row r="107" spans="1:9" x14ac:dyDescent="0.15">
      <c r="A107" s="138"/>
      <c r="B107" s="521" t="s">
        <v>847</v>
      </c>
      <c r="C107" s="138" t="s">
        <v>157</v>
      </c>
      <c r="D107" s="144">
        <v>0</v>
      </c>
      <c r="E107" s="144">
        <v>0</v>
      </c>
      <c r="F107" s="144">
        <v>0</v>
      </c>
      <c r="G107" s="291">
        <v>0</v>
      </c>
      <c r="H107" s="150">
        <v>0</v>
      </c>
      <c r="I107" s="567">
        <f t="shared" si="2"/>
        <v>0</v>
      </c>
    </row>
    <row r="108" spans="1:9" x14ac:dyDescent="0.15">
      <c r="A108" s="138"/>
      <c r="B108" s="521" t="s">
        <v>1583</v>
      </c>
      <c r="C108" s="138" t="s">
        <v>160</v>
      </c>
      <c r="D108" s="144">
        <v>0</v>
      </c>
      <c r="E108" s="144">
        <v>0</v>
      </c>
      <c r="F108" s="144">
        <v>0</v>
      </c>
      <c r="G108" s="291">
        <v>0</v>
      </c>
      <c r="H108" s="150">
        <v>0</v>
      </c>
      <c r="I108" s="567">
        <f t="shared" si="2"/>
        <v>0</v>
      </c>
    </row>
    <row r="109" spans="1:9" x14ac:dyDescent="0.15">
      <c r="A109" s="138"/>
      <c r="B109" s="521" t="s">
        <v>634</v>
      </c>
      <c r="C109" s="138" t="s">
        <v>165</v>
      </c>
      <c r="D109" s="144">
        <v>0</v>
      </c>
      <c r="E109" s="144">
        <v>0</v>
      </c>
      <c r="F109" s="144">
        <v>0</v>
      </c>
      <c r="G109" s="291">
        <v>0</v>
      </c>
      <c r="H109" s="150">
        <v>0</v>
      </c>
      <c r="I109" s="567">
        <f t="shared" si="2"/>
        <v>0</v>
      </c>
    </row>
    <row r="110" spans="1:9" x14ac:dyDescent="0.15">
      <c r="A110" s="138"/>
      <c r="B110" s="521" t="s">
        <v>630</v>
      </c>
      <c r="C110" s="138" t="s">
        <v>172</v>
      </c>
      <c r="D110" s="144">
        <v>0</v>
      </c>
      <c r="E110" s="144">
        <v>0</v>
      </c>
      <c r="F110" s="144">
        <v>0</v>
      </c>
      <c r="G110" s="291">
        <v>0</v>
      </c>
      <c r="H110" s="150">
        <v>0</v>
      </c>
      <c r="I110" s="567">
        <f t="shared" si="2"/>
        <v>0</v>
      </c>
    </row>
    <row r="111" spans="1:9" x14ac:dyDescent="0.15">
      <c r="A111" s="138"/>
      <c r="B111" s="650" t="s">
        <v>631</v>
      </c>
      <c r="C111" s="651" t="s">
        <v>173</v>
      </c>
      <c r="D111" s="144">
        <v>0</v>
      </c>
      <c r="E111" s="144">
        <v>0</v>
      </c>
      <c r="F111" s="144">
        <v>0</v>
      </c>
      <c r="G111" s="291">
        <v>0</v>
      </c>
      <c r="H111" s="150">
        <v>0</v>
      </c>
      <c r="I111" s="567">
        <f t="shared" si="2"/>
        <v>0</v>
      </c>
    </row>
    <row r="112" spans="1:9" x14ac:dyDescent="0.15">
      <c r="A112" s="138"/>
      <c r="B112" s="521" t="s">
        <v>1584</v>
      </c>
      <c r="C112" s="138" t="s">
        <v>178</v>
      </c>
      <c r="D112" s="144">
        <v>0</v>
      </c>
      <c r="E112" s="144">
        <v>0</v>
      </c>
      <c r="F112" s="144">
        <v>0</v>
      </c>
      <c r="G112" s="291">
        <v>0</v>
      </c>
      <c r="H112" s="150">
        <v>0</v>
      </c>
      <c r="I112" s="567">
        <f t="shared" si="2"/>
        <v>0</v>
      </c>
    </row>
    <row r="113" spans="1:10" x14ac:dyDescent="0.15">
      <c r="A113" s="138"/>
      <c r="B113" s="521" t="s">
        <v>174</v>
      </c>
      <c r="C113" s="138" t="s">
        <v>179</v>
      </c>
      <c r="D113" s="144">
        <v>0</v>
      </c>
      <c r="E113" s="144">
        <v>0</v>
      </c>
      <c r="F113" s="144">
        <v>0</v>
      </c>
      <c r="G113" s="291">
        <v>0</v>
      </c>
      <c r="H113" s="150">
        <v>0</v>
      </c>
      <c r="I113" s="567">
        <f t="shared" si="2"/>
        <v>0</v>
      </c>
    </row>
    <row r="114" spans="1:10" x14ac:dyDescent="0.15">
      <c r="A114" s="138"/>
      <c r="B114" s="521" t="s">
        <v>175</v>
      </c>
      <c r="C114" s="138" t="s">
        <v>180</v>
      </c>
      <c r="D114" s="144">
        <v>0</v>
      </c>
      <c r="E114" s="144">
        <v>0</v>
      </c>
      <c r="F114" s="144">
        <v>0</v>
      </c>
      <c r="G114" s="291">
        <v>0</v>
      </c>
      <c r="H114" s="150">
        <v>0</v>
      </c>
      <c r="I114" s="567">
        <f t="shared" si="2"/>
        <v>0</v>
      </c>
    </row>
    <row r="115" spans="1:10" ht="11.25" thickBot="1" x14ac:dyDescent="0.2">
      <c r="A115" s="138"/>
      <c r="B115" s="521" t="s">
        <v>176</v>
      </c>
      <c r="C115" s="138" t="s">
        <v>181</v>
      </c>
      <c r="D115" s="144">
        <v>0</v>
      </c>
      <c r="E115" s="144">
        <v>0</v>
      </c>
      <c r="F115" s="144">
        <v>0</v>
      </c>
      <c r="G115" s="291">
        <v>0</v>
      </c>
      <c r="H115" s="150">
        <v>0</v>
      </c>
      <c r="I115" s="567">
        <f t="shared" si="2"/>
        <v>0</v>
      </c>
    </row>
    <row r="116" spans="1:10" ht="12" thickTop="1" thickBot="1" x14ac:dyDescent="0.2">
      <c r="A116" s="138"/>
      <c r="B116" s="521"/>
      <c r="C116" s="138" t="s">
        <v>67</v>
      </c>
      <c r="D116" s="169">
        <f>SUM(D83:D115)</f>
        <v>0</v>
      </c>
      <c r="E116" s="169">
        <f>SUM(E83:E115)</f>
        <v>0</v>
      </c>
      <c r="F116" s="169">
        <f>SUM(F83:F115)</f>
        <v>0</v>
      </c>
      <c r="G116" s="169">
        <f>SUM(G83:G115)</f>
        <v>0</v>
      </c>
      <c r="H116" s="169">
        <f>SUM(H83:H115)</f>
        <v>0</v>
      </c>
      <c r="I116" s="169">
        <f t="shared" si="2"/>
        <v>0</v>
      </c>
    </row>
    <row r="117" spans="1:10" ht="11.25" thickTop="1" x14ac:dyDescent="0.15">
      <c r="A117" s="512"/>
      <c r="B117" s="512"/>
      <c r="C117" s="512"/>
      <c r="D117" s="14"/>
      <c r="E117" s="14"/>
      <c r="F117" s="14"/>
      <c r="G117" s="14"/>
      <c r="H117" s="14"/>
      <c r="I117" s="563"/>
    </row>
    <row r="118" spans="1:10" x14ac:dyDescent="0.15">
      <c r="A118" s="512" t="s">
        <v>68</v>
      </c>
      <c r="B118" s="512"/>
      <c r="C118" s="512"/>
      <c r="D118" s="14"/>
      <c r="E118" s="14"/>
      <c r="F118" s="14"/>
      <c r="G118" s="14"/>
      <c r="H118" s="14"/>
      <c r="I118" s="563"/>
    </row>
    <row r="119" spans="1:10" s="434" customFormat="1" x14ac:dyDescent="0.15">
      <c r="B119" s="523" t="s">
        <v>1577</v>
      </c>
      <c r="C119" s="524" t="s">
        <v>228</v>
      </c>
      <c r="D119" s="316">
        <v>0</v>
      </c>
      <c r="E119" s="316">
        <v>0</v>
      </c>
      <c r="F119" s="316">
        <v>0</v>
      </c>
      <c r="G119" s="528">
        <f t="array" ref="G119">SUM(IF(CertFund&amp;CertProg&amp;CertObj=RIGHT(LEFT($A$2,7),2)&amp;LEFT(A118,4)&amp;B119,CertSalary))</f>
        <v>0</v>
      </c>
      <c r="H119" s="527">
        <v>0</v>
      </c>
      <c r="I119" s="566">
        <f>SUM(G119+H119)</f>
        <v>0</v>
      </c>
    </row>
    <row r="120" spans="1:10" s="434" customFormat="1" x14ac:dyDescent="0.15">
      <c r="B120" s="523" t="s">
        <v>1577</v>
      </c>
      <c r="C120" s="524" t="s">
        <v>510</v>
      </c>
      <c r="D120" s="316">
        <v>0</v>
      </c>
      <c r="E120" s="316">
        <v>0</v>
      </c>
      <c r="F120" s="316">
        <v>0</v>
      </c>
      <c r="G120" s="316">
        <v>0</v>
      </c>
      <c r="H120" s="527">
        <v>0</v>
      </c>
      <c r="I120" s="566">
        <f>SUM(G120+H120)</f>
        <v>0</v>
      </c>
    </row>
    <row r="121" spans="1:10" s="434" customFormat="1" x14ac:dyDescent="0.15">
      <c r="A121" s="524"/>
      <c r="B121" s="523" t="s">
        <v>1578</v>
      </c>
      <c r="C121" s="524" t="s">
        <v>936</v>
      </c>
      <c r="D121" s="316">
        <v>0</v>
      </c>
      <c r="E121" s="316">
        <v>0</v>
      </c>
      <c r="F121" s="316">
        <v>0</v>
      </c>
      <c r="G121" s="529">
        <f t="array" ref="G121">SUM(IF(CertFund&amp;CertProg&amp;CertObj=RIGHT(LEFT($A$2,7),2)&amp;LEFT(A118,4)&amp;B119,CertBen))</f>
        <v>0</v>
      </c>
      <c r="H121" s="527">
        <v>0</v>
      </c>
      <c r="I121" s="566">
        <f>SUM(G121+H121)</f>
        <v>0</v>
      </c>
    </row>
    <row r="122" spans="1:10" x14ac:dyDescent="0.15">
      <c r="A122" s="138"/>
      <c r="B122" s="521" t="s">
        <v>1578</v>
      </c>
      <c r="C122" s="138" t="s">
        <v>511</v>
      </c>
      <c r="D122" s="147">
        <v>0</v>
      </c>
      <c r="E122" s="147">
        <v>0</v>
      </c>
      <c r="F122" s="147">
        <v>0</v>
      </c>
      <c r="G122" s="147">
        <v>0</v>
      </c>
      <c r="H122" s="150">
        <v>0</v>
      </c>
      <c r="I122" s="567">
        <f>SUM(G122+H122)</f>
        <v>0</v>
      </c>
      <c r="J122" s="434"/>
    </row>
    <row r="123" spans="1:10" x14ac:dyDescent="0.15">
      <c r="A123" s="138"/>
      <c r="B123" s="521" t="s">
        <v>1579</v>
      </c>
      <c r="C123" s="138" t="s">
        <v>118</v>
      </c>
      <c r="D123" s="144">
        <v>0</v>
      </c>
      <c r="E123" s="144">
        <v>0</v>
      </c>
      <c r="F123" s="144">
        <v>0</v>
      </c>
      <c r="G123" s="291">
        <v>0</v>
      </c>
      <c r="H123" s="150">
        <v>0</v>
      </c>
      <c r="I123" s="567">
        <f t="shared" ref="I123:I152" si="3">SUM(G123+H123)</f>
        <v>0</v>
      </c>
    </row>
    <row r="124" spans="1:10" x14ac:dyDescent="0.15">
      <c r="A124" s="138"/>
      <c r="B124" s="521" t="s">
        <v>1580</v>
      </c>
      <c r="C124" s="138" t="s">
        <v>119</v>
      </c>
      <c r="D124" s="144">
        <v>0</v>
      </c>
      <c r="E124" s="144">
        <v>0</v>
      </c>
      <c r="F124" s="144">
        <v>0</v>
      </c>
      <c r="G124" s="291">
        <v>0</v>
      </c>
      <c r="H124" s="150">
        <v>0</v>
      </c>
      <c r="I124" s="567">
        <f t="shared" si="3"/>
        <v>0</v>
      </c>
    </row>
    <row r="125" spans="1:10" x14ac:dyDescent="0.15">
      <c r="A125" s="138"/>
      <c r="B125" s="521" t="s">
        <v>120</v>
      </c>
      <c r="C125" s="138" t="s">
        <v>121</v>
      </c>
      <c r="D125" s="144">
        <v>0</v>
      </c>
      <c r="E125" s="144">
        <v>0</v>
      </c>
      <c r="F125" s="144">
        <v>0</v>
      </c>
      <c r="G125" s="291">
        <v>0</v>
      </c>
      <c r="H125" s="150">
        <v>0</v>
      </c>
      <c r="I125" s="567">
        <f t="shared" si="3"/>
        <v>0</v>
      </c>
    </row>
    <row r="126" spans="1:10" x14ac:dyDescent="0.15">
      <c r="A126" s="138"/>
      <c r="B126" s="521" t="s">
        <v>122</v>
      </c>
      <c r="C126" s="138" t="s">
        <v>123</v>
      </c>
      <c r="D126" s="144">
        <v>0</v>
      </c>
      <c r="E126" s="144">
        <v>0</v>
      </c>
      <c r="F126" s="144">
        <v>0</v>
      </c>
      <c r="G126" s="291">
        <v>0</v>
      </c>
      <c r="H126" s="150">
        <v>0</v>
      </c>
      <c r="I126" s="567">
        <f t="shared" si="3"/>
        <v>0</v>
      </c>
    </row>
    <row r="127" spans="1:10" x14ac:dyDescent="0.15">
      <c r="A127" s="138"/>
      <c r="B127" s="521" t="s">
        <v>1581</v>
      </c>
      <c r="C127" s="138" t="s">
        <v>124</v>
      </c>
      <c r="D127" s="144">
        <v>0</v>
      </c>
      <c r="E127" s="144">
        <v>0</v>
      </c>
      <c r="F127" s="144">
        <v>0</v>
      </c>
      <c r="G127" s="291">
        <v>0</v>
      </c>
      <c r="H127" s="150">
        <v>0</v>
      </c>
      <c r="I127" s="567">
        <f t="shared" si="3"/>
        <v>0</v>
      </c>
    </row>
    <row r="128" spans="1:10" x14ac:dyDescent="0.15">
      <c r="A128" s="138"/>
      <c r="B128" s="521" t="s">
        <v>127</v>
      </c>
      <c r="C128" s="138" t="s">
        <v>134</v>
      </c>
      <c r="D128" s="144">
        <v>0</v>
      </c>
      <c r="E128" s="144">
        <v>0</v>
      </c>
      <c r="F128" s="144">
        <v>0</v>
      </c>
      <c r="G128" s="291">
        <v>0</v>
      </c>
      <c r="H128" s="150">
        <v>0</v>
      </c>
      <c r="I128" s="567">
        <f t="shared" si="3"/>
        <v>0</v>
      </c>
    </row>
    <row r="129" spans="1:9" x14ac:dyDescent="0.15">
      <c r="A129" s="138"/>
      <c r="B129" s="521" t="s">
        <v>132</v>
      </c>
      <c r="C129" s="138" t="s">
        <v>1617</v>
      </c>
      <c r="D129" s="144">
        <v>0</v>
      </c>
      <c r="E129" s="144">
        <v>0</v>
      </c>
      <c r="F129" s="144">
        <v>0</v>
      </c>
      <c r="G129" s="291">
        <v>0</v>
      </c>
      <c r="H129" s="150">
        <v>0</v>
      </c>
      <c r="I129" s="567">
        <f t="shared" si="3"/>
        <v>0</v>
      </c>
    </row>
    <row r="130" spans="1:9" x14ac:dyDescent="0.15">
      <c r="A130" s="138"/>
      <c r="B130" s="521" t="s">
        <v>1618</v>
      </c>
      <c r="C130" s="138" t="s">
        <v>836</v>
      </c>
      <c r="D130" s="144">
        <v>0</v>
      </c>
      <c r="E130" s="144">
        <v>0</v>
      </c>
      <c r="F130" s="144">
        <v>0</v>
      </c>
      <c r="G130" s="291">
        <v>0</v>
      </c>
      <c r="H130" s="150">
        <v>0</v>
      </c>
      <c r="I130" s="567">
        <f t="shared" si="3"/>
        <v>0</v>
      </c>
    </row>
    <row r="131" spans="1:9" x14ac:dyDescent="0.15">
      <c r="A131" s="138"/>
      <c r="B131" s="521" t="s">
        <v>1619</v>
      </c>
      <c r="C131" s="138" t="s">
        <v>185</v>
      </c>
      <c r="D131" s="144">
        <v>0</v>
      </c>
      <c r="E131" s="144">
        <v>0</v>
      </c>
      <c r="F131" s="144">
        <v>0</v>
      </c>
      <c r="G131" s="291">
        <v>0</v>
      </c>
      <c r="H131" s="150">
        <v>0</v>
      </c>
      <c r="I131" s="567">
        <f t="shared" si="3"/>
        <v>0</v>
      </c>
    </row>
    <row r="132" spans="1:9" x14ac:dyDescent="0.15">
      <c r="A132" s="138"/>
      <c r="B132" s="521" t="s">
        <v>1620</v>
      </c>
      <c r="C132" s="138" t="s">
        <v>838</v>
      </c>
      <c r="D132" s="144">
        <v>0</v>
      </c>
      <c r="E132" s="144">
        <v>0</v>
      </c>
      <c r="F132" s="144">
        <v>0</v>
      </c>
      <c r="G132" s="291">
        <v>0</v>
      </c>
      <c r="H132" s="150">
        <v>0</v>
      </c>
      <c r="I132" s="567">
        <f t="shared" si="3"/>
        <v>0</v>
      </c>
    </row>
    <row r="133" spans="1:9" x14ac:dyDescent="0.15">
      <c r="A133" s="138"/>
      <c r="B133" s="521" t="s">
        <v>1621</v>
      </c>
      <c r="C133" s="138" t="s">
        <v>839</v>
      </c>
      <c r="D133" s="144">
        <v>0</v>
      </c>
      <c r="E133" s="144">
        <v>0</v>
      </c>
      <c r="F133" s="144">
        <v>0</v>
      </c>
      <c r="G133" s="291">
        <v>0</v>
      </c>
      <c r="H133" s="150">
        <v>0</v>
      </c>
      <c r="I133" s="567">
        <f t="shared" si="3"/>
        <v>0</v>
      </c>
    </row>
    <row r="134" spans="1:9" x14ac:dyDescent="0.15">
      <c r="A134" s="138"/>
      <c r="B134" s="521" t="s">
        <v>1622</v>
      </c>
      <c r="C134" s="138" t="s">
        <v>190</v>
      </c>
      <c r="D134" s="144">
        <v>0</v>
      </c>
      <c r="E134" s="144">
        <v>0</v>
      </c>
      <c r="F134" s="144">
        <v>0</v>
      </c>
      <c r="G134" s="291">
        <v>0</v>
      </c>
      <c r="H134" s="150">
        <v>0</v>
      </c>
      <c r="I134" s="567">
        <f t="shared" si="3"/>
        <v>0</v>
      </c>
    </row>
    <row r="135" spans="1:9" x14ac:dyDescent="0.15">
      <c r="A135" s="138"/>
      <c r="B135" s="521" t="s">
        <v>1623</v>
      </c>
      <c r="C135" s="138" t="s">
        <v>191</v>
      </c>
      <c r="D135" s="144">
        <v>0</v>
      </c>
      <c r="E135" s="144">
        <v>0</v>
      </c>
      <c r="F135" s="144">
        <v>0</v>
      </c>
      <c r="G135" s="291">
        <v>0</v>
      </c>
      <c r="H135" s="150">
        <v>0</v>
      </c>
      <c r="I135" s="567">
        <f t="shared" si="3"/>
        <v>0</v>
      </c>
    </row>
    <row r="136" spans="1:9" x14ac:dyDescent="0.15">
      <c r="A136" s="138"/>
      <c r="B136" s="521" t="s">
        <v>1624</v>
      </c>
      <c r="C136" s="138" t="s">
        <v>840</v>
      </c>
      <c r="D136" s="144">
        <v>0</v>
      </c>
      <c r="E136" s="144">
        <v>0</v>
      </c>
      <c r="F136" s="144">
        <v>0</v>
      </c>
      <c r="G136" s="291">
        <v>0</v>
      </c>
      <c r="H136" s="150">
        <v>0</v>
      </c>
      <c r="I136" s="567">
        <f t="shared" si="3"/>
        <v>0</v>
      </c>
    </row>
    <row r="137" spans="1:9" x14ac:dyDescent="0.15">
      <c r="A137" s="138"/>
      <c r="B137" s="521" t="s">
        <v>1625</v>
      </c>
      <c r="C137" s="138" t="s">
        <v>842</v>
      </c>
      <c r="D137" s="144">
        <v>0</v>
      </c>
      <c r="E137" s="144">
        <v>0</v>
      </c>
      <c r="F137" s="144">
        <v>0</v>
      </c>
      <c r="G137" s="291">
        <v>0</v>
      </c>
      <c r="H137" s="150">
        <v>0</v>
      </c>
      <c r="I137" s="567">
        <f t="shared" si="3"/>
        <v>0</v>
      </c>
    </row>
    <row r="138" spans="1:9" x14ac:dyDescent="0.15">
      <c r="A138" s="138"/>
      <c r="B138" s="521" t="s">
        <v>843</v>
      </c>
      <c r="C138" s="138" t="s">
        <v>848</v>
      </c>
      <c r="D138" s="144">
        <v>0</v>
      </c>
      <c r="E138" s="144">
        <v>0</v>
      </c>
      <c r="F138" s="144">
        <v>0</v>
      </c>
      <c r="G138" s="291">
        <v>0</v>
      </c>
      <c r="H138" s="150">
        <v>0</v>
      </c>
      <c r="I138" s="567">
        <f t="shared" si="3"/>
        <v>0</v>
      </c>
    </row>
    <row r="139" spans="1:9" x14ac:dyDescent="0.15">
      <c r="A139" s="138"/>
      <c r="B139" s="521" t="s">
        <v>844</v>
      </c>
      <c r="C139" s="138" t="s">
        <v>186</v>
      </c>
      <c r="D139" s="144">
        <v>0</v>
      </c>
      <c r="E139" s="144">
        <v>0</v>
      </c>
      <c r="F139" s="144">
        <v>0</v>
      </c>
      <c r="G139" s="291">
        <v>0</v>
      </c>
      <c r="H139" s="150">
        <v>0</v>
      </c>
      <c r="I139" s="567">
        <f t="shared" si="3"/>
        <v>0</v>
      </c>
    </row>
    <row r="140" spans="1:9" x14ac:dyDescent="0.15">
      <c r="A140" s="138"/>
      <c r="B140" s="521" t="s">
        <v>845</v>
      </c>
      <c r="C140" s="138" t="s">
        <v>154</v>
      </c>
      <c r="D140" s="144">
        <v>0</v>
      </c>
      <c r="E140" s="144">
        <v>0</v>
      </c>
      <c r="F140" s="144">
        <v>0</v>
      </c>
      <c r="G140" s="291">
        <v>0</v>
      </c>
      <c r="H140" s="150">
        <v>0</v>
      </c>
      <c r="I140" s="567">
        <f t="shared" si="3"/>
        <v>0</v>
      </c>
    </row>
    <row r="141" spans="1:9" x14ac:dyDescent="0.15">
      <c r="A141" s="138"/>
      <c r="B141" s="521" t="s">
        <v>846</v>
      </c>
      <c r="C141" s="138" t="s">
        <v>155</v>
      </c>
      <c r="D141" s="144">
        <v>0</v>
      </c>
      <c r="E141" s="144">
        <v>0</v>
      </c>
      <c r="F141" s="144">
        <v>0</v>
      </c>
      <c r="G141" s="291">
        <v>0</v>
      </c>
      <c r="H141" s="150">
        <v>0</v>
      </c>
      <c r="I141" s="567">
        <f t="shared" si="3"/>
        <v>0</v>
      </c>
    </row>
    <row r="142" spans="1:9" x14ac:dyDescent="0.15">
      <c r="A142" s="138"/>
      <c r="B142" s="521" t="s">
        <v>1582</v>
      </c>
      <c r="C142" s="138" t="s">
        <v>156</v>
      </c>
      <c r="D142" s="144">
        <v>0</v>
      </c>
      <c r="E142" s="144">
        <v>0</v>
      </c>
      <c r="F142" s="144">
        <v>0</v>
      </c>
      <c r="G142" s="291">
        <v>0</v>
      </c>
      <c r="H142" s="150">
        <v>0</v>
      </c>
      <c r="I142" s="567">
        <f t="shared" si="3"/>
        <v>0</v>
      </c>
    </row>
    <row r="143" spans="1:9" x14ac:dyDescent="0.15">
      <c r="A143" s="138"/>
      <c r="B143" s="521" t="s">
        <v>847</v>
      </c>
      <c r="C143" s="138" t="s">
        <v>157</v>
      </c>
      <c r="D143" s="144">
        <v>0</v>
      </c>
      <c r="E143" s="144">
        <v>0</v>
      </c>
      <c r="F143" s="144">
        <v>0</v>
      </c>
      <c r="G143" s="291">
        <v>0</v>
      </c>
      <c r="H143" s="150">
        <v>0</v>
      </c>
      <c r="I143" s="567">
        <f t="shared" si="3"/>
        <v>0</v>
      </c>
    </row>
    <row r="144" spans="1:9" x14ac:dyDescent="0.15">
      <c r="A144" s="138"/>
      <c r="B144" s="521" t="s">
        <v>1583</v>
      </c>
      <c r="C144" s="138" t="s">
        <v>160</v>
      </c>
      <c r="D144" s="144">
        <v>0</v>
      </c>
      <c r="E144" s="144">
        <v>0</v>
      </c>
      <c r="F144" s="144">
        <v>0</v>
      </c>
      <c r="G144" s="291">
        <v>0</v>
      </c>
      <c r="H144" s="150">
        <v>0</v>
      </c>
      <c r="I144" s="567">
        <f t="shared" si="3"/>
        <v>0</v>
      </c>
    </row>
    <row r="145" spans="1:10" x14ac:dyDescent="0.15">
      <c r="A145" s="138"/>
      <c r="B145" s="521" t="s">
        <v>634</v>
      </c>
      <c r="C145" s="138" t="s">
        <v>165</v>
      </c>
      <c r="D145" s="144">
        <v>0</v>
      </c>
      <c r="E145" s="144">
        <v>0</v>
      </c>
      <c r="F145" s="144">
        <v>0</v>
      </c>
      <c r="G145" s="291">
        <v>0</v>
      </c>
      <c r="H145" s="150">
        <v>0</v>
      </c>
      <c r="I145" s="567">
        <f t="shared" si="3"/>
        <v>0</v>
      </c>
    </row>
    <row r="146" spans="1:10" x14ac:dyDescent="0.15">
      <c r="A146" s="138"/>
      <c r="B146" s="521" t="s">
        <v>630</v>
      </c>
      <c r="C146" s="138" t="s">
        <v>172</v>
      </c>
      <c r="D146" s="144">
        <v>0</v>
      </c>
      <c r="E146" s="144">
        <v>0</v>
      </c>
      <c r="F146" s="144">
        <v>0</v>
      </c>
      <c r="G146" s="291">
        <v>0</v>
      </c>
      <c r="H146" s="150">
        <v>0</v>
      </c>
      <c r="I146" s="567">
        <f t="shared" si="3"/>
        <v>0</v>
      </c>
    </row>
    <row r="147" spans="1:10" x14ac:dyDescent="0.15">
      <c r="A147" s="138"/>
      <c r="B147" s="650" t="s">
        <v>631</v>
      </c>
      <c r="C147" s="651" t="s">
        <v>173</v>
      </c>
      <c r="D147" s="144">
        <v>0</v>
      </c>
      <c r="E147" s="144">
        <v>0</v>
      </c>
      <c r="F147" s="144">
        <v>0</v>
      </c>
      <c r="G147" s="291">
        <v>0</v>
      </c>
      <c r="H147" s="150">
        <v>0</v>
      </c>
      <c r="I147" s="567">
        <f t="shared" si="3"/>
        <v>0</v>
      </c>
    </row>
    <row r="148" spans="1:10" x14ac:dyDescent="0.15">
      <c r="A148" s="138"/>
      <c r="B148" s="521" t="s">
        <v>1584</v>
      </c>
      <c r="C148" s="138" t="s">
        <v>178</v>
      </c>
      <c r="D148" s="144">
        <v>0</v>
      </c>
      <c r="E148" s="144">
        <v>0</v>
      </c>
      <c r="F148" s="144">
        <v>0</v>
      </c>
      <c r="G148" s="291">
        <v>0</v>
      </c>
      <c r="H148" s="150">
        <v>0</v>
      </c>
      <c r="I148" s="567">
        <f t="shared" si="3"/>
        <v>0</v>
      </c>
    </row>
    <row r="149" spans="1:10" x14ac:dyDescent="0.15">
      <c r="A149" s="138"/>
      <c r="B149" s="521" t="s">
        <v>174</v>
      </c>
      <c r="C149" s="138" t="s">
        <v>179</v>
      </c>
      <c r="D149" s="144">
        <v>0</v>
      </c>
      <c r="E149" s="144">
        <v>0</v>
      </c>
      <c r="F149" s="144">
        <v>0</v>
      </c>
      <c r="G149" s="291">
        <v>0</v>
      </c>
      <c r="H149" s="150">
        <v>0</v>
      </c>
      <c r="I149" s="567">
        <f t="shared" si="3"/>
        <v>0</v>
      </c>
    </row>
    <row r="150" spans="1:10" x14ac:dyDescent="0.15">
      <c r="A150" s="138"/>
      <c r="B150" s="521" t="s">
        <v>175</v>
      </c>
      <c r="C150" s="138" t="s">
        <v>180</v>
      </c>
      <c r="D150" s="144">
        <v>0</v>
      </c>
      <c r="E150" s="144">
        <v>0</v>
      </c>
      <c r="F150" s="144">
        <v>0</v>
      </c>
      <c r="G150" s="291">
        <v>0</v>
      </c>
      <c r="H150" s="150">
        <v>0</v>
      </c>
      <c r="I150" s="567">
        <f t="shared" si="3"/>
        <v>0</v>
      </c>
    </row>
    <row r="151" spans="1:10" ht="11.25" thickBot="1" x14ac:dyDescent="0.2">
      <c r="A151" s="138"/>
      <c r="B151" s="521" t="s">
        <v>176</v>
      </c>
      <c r="C151" s="138" t="s">
        <v>181</v>
      </c>
      <c r="D151" s="144">
        <v>0</v>
      </c>
      <c r="E151" s="144">
        <v>0</v>
      </c>
      <c r="F151" s="144">
        <v>0</v>
      </c>
      <c r="G151" s="291">
        <v>0</v>
      </c>
      <c r="H151" s="150">
        <v>0</v>
      </c>
      <c r="I151" s="567">
        <f t="shared" si="3"/>
        <v>0</v>
      </c>
    </row>
    <row r="152" spans="1:10" ht="12" thickTop="1" thickBot="1" x14ac:dyDescent="0.2">
      <c r="A152" s="138"/>
      <c r="B152" s="521"/>
      <c r="C152" s="138" t="s">
        <v>220</v>
      </c>
      <c r="D152" s="169">
        <f>SUM(D119:D151)</f>
        <v>0</v>
      </c>
      <c r="E152" s="169">
        <f>SUM(E119:E151)</f>
        <v>0</v>
      </c>
      <c r="F152" s="169">
        <f>SUM(F119:F151)</f>
        <v>0</v>
      </c>
      <c r="G152" s="169">
        <f>SUM(G119:G151)</f>
        <v>0</v>
      </c>
      <c r="H152" s="169">
        <f>SUM(H119:H151)</f>
        <v>0</v>
      </c>
      <c r="I152" s="169">
        <f t="shared" si="3"/>
        <v>0</v>
      </c>
    </row>
    <row r="153" spans="1:10" ht="11.25" thickTop="1" x14ac:dyDescent="0.15">
      <c r="A153" s="512"/>
      <c r="B153" s="512"/>
      <c r="C153" s="512"/>
      <c r="D153" s="14"/>
      <c r="E153" s="14"/>
      <c r="F153" s="14"/>
      <c r="G153" s="14"/>
      <c r="H153" s="14"/>
      <c r="I153" s="563"/>
    </row>
    <row r="154" spans="1:10" x14ac:dyDescent="0.15">
      <c r="A154" s="512" t="s">
        <v>221</v>
      </c>
      <c r="B154" s="138"/>
      <c r="C154" s="138"/>
      <c r="D154" s="14"/>
      <c r="E154" s="14"/>
      <c r="F154" s="14"/>
      <c r="G154" s="14"/>
      <c r="H154" s="14"/>
      <c r="I154" s="563"/>
    </row>
    <row r="155" spans="1:10" s="434" customFormat="1" x14ac:dyDescent="0.15">
      <c r="B155" s="523" t="s">
        <v>1577</v>
      </c>
      <c r="C155" s="524" t="s">
        <v>228</v>
      </c>
      <c r="D155" s="316">
        <v>0</v>
      </c>
      <c r="E155" s="316">
        <v>0</v>
      </c>
      <c r="F155" s="316">
        <v>0</v>
      </c>
      <c r="G155" s="528">
        <f t="array" ref="G155">SUM(IF(CertFund&amp;CertProg&amp;CertObj=RIGHT(LEFT($A$2,7),2)&amp;LEFT(A154,4)&amp;B155,CertSalary))</f>
        <v>0</v>
      </c>
      <c r="H155" s="527">
        <v>0</v>
      </c>
      <c r="I155" s="566">
        <f>SUM(G155+H155)</f>
        <v>0</v>
      </c>
    </row>
    <row r="156" spans="1:10" s="434" customFormat="1" x14ac:dyDescent="0.15">
      <c r="B156" s="523" t="s">
        <v>1577</v>
      </c>
      <c r="C156" s="524" t="s">
        <v>510</v>
      </c>
      <c r="D156" s="316">
        <v>0</v>
      </c>
      <c r="E156" s="316">
        <v>0</v>
      </c>
      <c r="F156" s="316">
        <v>0</v>
      </c>
      <c r="G156" s="316">
        <v>0</v>
      </c>
      <c r="H156" s="527">
        <v>0</v>
      </c>
      <c r="I156" s="566">
        <f>SUM(G156+H156)</f>
        <v>0</v>
      </c>
    </row>
    <row r="157" spans="1:10" s="434" customFormat="1" x14ac:dyDescent="0.15">
      <c r="A157" s="524"/>
      <c r="B157" s="523" t="s">
        <v>1578</v>
      </c>
      <c r="C157" s="524" t="s">
        <v>936</v>
      </c>
      <c r="D157" s="316">
        <v>0</v>
      </c>
      <c r="E157" s="316">
        <v>0</v>
      </c>
      <c r="F157" s="316">
        <v>0</v>
      </c>
      <c r="G157" s="529">
        <f t="array" ref="G157">SUM(IF(CertFund&amp;CertProg&amp;CertObj=RIGHT(LEFT($A$2,7),2)&amp;LEFT(A154,4)&amp;B155,CertBen))</f>
        <v>0</v>
      </c>
      <c r="H157" s="527">
        <v>0</v>
      </c>
      <c r="I157" s="566">
        <f>SUM(G157+H157)</f>
        <v>0</v>
      </c>
    </row>
    <row r="158" spans="1:10" x14ac:dyDescent="0.15">
      <c r="A158" s="138"/>
      <c r="B158" s="521" t="s">
        <v>1578</v>
      </c>
      <c r="C158" s="138" t="s">
        <v>511</v>
      </c>
      <c r="D158" s="147">
        <v>0</v>
      </c>
      <c r="E158" s="147">
        <v>0</v>
      </c>
      <c r="F158" s="147">
        <v>0</v>
      </c>
      <c r="G158" s="147">
        <v>0</v>
      </c>
      <c r="H158" s="150">
        <v>0</v>
      </c>
      <c r="I158" s="567">
        <f>SUM(G158+H158)</f>
        <v>0</v>
      </c>
      <c r="J158" s="434"/>
    </row>
    <row r="159" spans="1:10" x14ac:dyDescent="0.15">
      <c r="A159" s="138"/>
      <c r="B159" s="521" t="s">
        <v>1579</v>
      </c>
      <c r="C159" s="138" t="s">
        <v>118</v>
      </c>
      <c r="D159" s="144">
        <v>0</v>
      </c>
      <c r="E159" s="144">
        <v>0</v>
      </c>
      <c r="F159" s="144">
        <v>0</v>
      </c>
      <c r="G159" s="291">
        <v>0</v>
      </c>
      <c r="H159" s="150">
        <v>0</v>
      </c>
      <c r="I159" s="567">
        <f t="shared" ref="I159:I188" si="4">SUM(G159+H159)</f>
        <v>0</v>
      </c>
    </row>
    <row r="160" spans="1:10" x14ac:dyDescent="0.15">
      <c r="A160" s="138"/>
      <c r="B160" s="521" t="s">
        <v>1580</v>
      </c>
      <c r="C160" s="138" t="s">
        <v>119</v>
      </c>
      <c r="D160" s="144">
        <v>0</v>
      </c>
      <c r="E160" s="144">
        <v>0</v>
      </c>
      <c r="F160" s="144">
        <v>0</v>
      </c>
      <c r="G160" s="291">
        <v>0</v>
      </c>
      <c r="H160" s="150">
        <v>0</v>
      </c>
      <c r="I160" s="567">
        <f t="shared" si="4"/>
        <v>0</v>
      </c>
    </row>
    <row r="161" spans="1:9" x14ac:dyDescent="0.15">
      <c r="A161" s="138"/>
      <c r="B161" s="521" t="s">
        <v>120</v>
      </c>
      <c r="C161" s="138" t="s">
        <v>121</v>
      </c>
      <c r="D161" s="144">
        <v>0</v>
      </c>
      <c r="E161" s="144">
        <v>0</v>
      </c>
      <c r="F161" s="144">
        <v>0</v>
      </c>
      <c r="G161" s="291">
        <v>0</v>
      </c>
      <c r="H161" s="150">
        <v>0</v>
      </c>
      <c r="I161" s="567">
        <f t="shared" si="4"/>
        <v>0</v>
      </c>
    </row>
    <row r="162" spans="1:9" x14ac:dyDescent="0.15">
      <c r="A162" s="138"/>
      <c r="B162" s="521" t="s">
        <v>122</v>
      </c>
      <c r="C162" s="138" t="s">
        <v>123</v>
      </c>
      <c r="D162" s="144">
        <v>0</v>
      </c>
      <c r="E162" s="144">
        <v>0</v>
      </c>
      <c r="F162" s="144">
        <v>0</v>
      </c>
      <c r="G162" s="291">
        <v>0</v>
      </c>
      <c r="H162" s="150">
        <v>0</v>
      </c>
      <c r="I162" s="567">
        <f t="shared" si="4"/>
        <v>0</v>
      </c>
    </row>
    <row r="163" spans="1:9" x14ac:dyDescent="0.15">
      <c r="A163" s="138"/>
      <c r="B163" s="521" t="s">
        <v>1581</v>
      </c>
      <c r="C163" s="138" t="s">
        <v>124</v>
      </c>
      <c r="D163" s="144">
        <v>0</v>
      </c>
      <c r="E163" s="144">
        <v>0</v>
      </c>
      <c r="F163" s="144">
        <v>0</v>
      </c>
      <c r="G163" s="291">
        <v>0</v>
      </c>
      <c r="H163" s="150">
        <v>0</v>
      </c>
      <c r="I163" s="567">
        <f t="shared" si="4"/>
        <v>0</v>
      </c>
    </row>
    <row r="164" spans="1:9" x14ac:dyDescent="0.15">
      <c r="A164" s="138"/>
      <c r="B164" s="521" t="s">
        <v>127</v>
      </c>
      <c r="C164" s="138" t="s">
        <v>134</v>
      </c>
      <c r="D164" s="144">
        <v>0</v>
      </c>
      <c r="E164" s="144">
        <v>0</v>
      </c>
      <c r="F164" s="144">
        <v>0</v>
      </c>
      <c r="G164" s="291">
        <v>0</v>
      </c>
      <c r="H164" s="150">
        <v>0</v>
      </c>
      <c r="I164" s="567">
        <f t="shared" si="4"/>
        <v>0</v>
      </c>
    </row>
    <row r="165" spans="1:9" x14ac:dyDescent="0.15">
      <c r="A165" s="138"/>
      <c r="B165" s="521" t="s">
        <v>132</v>
      </c>
      <c r="C165" s="138" t="s">
        <v>1617</v>
      </c>
      <c r="D165" s="144">
        <v>0</v>
      </c>
      <c r="E165" s="144">
        <v>0</v>
      </c>
      <c r="F165" s="144">
        <v>0</v>
      </c>
      <c r="G165" s="291">
        <v>0</v>
      </c>
      <c r="H165" s="150">
        <v>0</v>
      </c>
      <c r="I165" s="567">
        <f t="shared" si="4"/>
        <v>0</v>
      </c>
    </row>
    <row r="166" spans="1:9" x14ac:dyDescent="0.15">
      <c r="A166" s="138"/>
      <c r="B166" s="521" t="s">
        <v>1618</v>
      </c>
      <c r="C166" s="138" t="s">
        <v>836</v>
      </c>
      <c r="D166" s="144">
        <v>0</v>
      </c>
      <c r="E166" s="144">
        <v>0</v>
      </c>
      <c r="F166" s="144">
        <v>0</v>
      </c>
      <c r="G166" s="291">
        <v>0</v>
      </c>
      <c r="H166" s="150">
        <v>0</v>
      </c>
      <c r="I166" s="567">
        <f t="shared" si="4"/>
        <v>0</v>
      </c>
    </row>
    <row r="167" spans="1:9" x14ac:dyDescent="0.15">
      <c r="A167" s="138"/>
      <c r="B167" s="521" t="s">
        <v>1619</v>
      </c>
      <c r="C167" s="138" t="s">
        <v>185</v>
      </c>
      <c r="D167" s="144">
        <v>0</v>
      </c>
      <c r="E167" s="144">
        <v>0</v>
      </c>
      <c r="F167" s="144">
        <v>0</v>
      </c>
      <c r="G167" s="291">
        <v>0</v>
      </c>
      <c r="H167" s="150">
        <v>0</v>
      </c>
      <c r="I167" s="567">
        <f t="shared" si="4"/>
        <v>0</v>
      </c>
    </row>
    <row r="168" spans="1:9" x14ac:dyDescent="0.15">
      <c r="A168" s="138"/>
      <c r="B168" s="521" t="s">
        <v>1620</v>
      </c>
      <c r="C168" s="138" t="s">
        <v>838</v>
      </c>
      <c r="D168" s="144">
        <v>0</v>
      </c>
      <c r="E168" s="144">
        <v>0</v>
      </c>
      <c r="F168" s="144">
        <v>0</v>
      </c>
      <c r="G168" s="291">
        <v>0</v>
      </c>
      <c r="H168" s="150">
        <v>0</v>
      </c>
      <c r="I168" s="567">
        <f t="shared" si="4"/>
        <v>0</v>
      </c>
    </row>
    <row r="169" spans="1:9" x14ac:dyDescent="0.15">
      <c r="A169" s="138"/>
      <c r="B169" s="521" t="s">
        <v>1621</v>
      </c>
      <c r="C169" s="138" t="s">
        <v>839</v>
      </c>
      <c r="D169" s="144">
        <v>0</v>
      </c>
      <c r="E169" s="144">
        <v>0</v>
      </c>
      <c r="F169" s="144">
        <v>0</v>
      </c>
      <c r="G169" s="291">
        <v>0</v>
      </c>
      <c r="H169" s="150">
        <v>0</v>
      </c>
      <c r="I169" s="567">
        <f t="shared" si="4"/>
        <v>0</v>
      </c>
    </row>
    <row r="170" spans="1:9" x14ac:dyDescent="0.15">
      <c r="A170" s="138"/>
      <c r="B170" s="521" t="s">
        <v>1622</v>
      </c>
      <c r="C170" s="138" t="s">
        <v>190</v>
      </c>
      <c r="D170" s="144">
        <v>0</v>
      </c>
      <c r="E170" s="144">
        <v>0</v>
      </c>
      <c r="F170" s="144">
        <v>0</v>
      </c>
      <c r="G170" s="291">
        <v>0</v>
      </c>
      <c r="H170" s="150">
        <v>0</v>
      </c>
      <c r="I170" s="567">
        <f t="shared" si="4"/>
        <v>0</v>
      </c>
    </row>
    <row r="171" spans="1:9" x14ac:dyDescent="0.15">
      <c r="A171" s="138"/>
      <c r="B171" s="521" t="s">
        <v>1623</v>
      </c>
      <c r="C171" s="138" t="s">
        <v>191</v>
      </c>
      <c r="D171" s="144">
        <v>0</v>
      </c>
      <c r="E171" s="144">
        <v>0</v>
      </c>
      <c r="F171" s="144">
        <v>0</v>
      </c>
      <c r="G171" s="291">
        <v>0</v>
      </c>
      <c r="H171" s="150">
        <v>0</v>
      </c>
      <c r="I171" s="567">
        <f t="shared" si="4"/>
        <v>0</v>
      </c>
    </row>
    <row r="172" spans="1:9" x14ac:dyDescent="0.15">
      <c r="A172" s="138"/>
      <c r="B172" s="521" t="s">
        <v>1624</v>
      </c>
      <c r="C172" s="138" t="s">
        <v>840</v>
      </c>
      <c r="D172" s="144">
        <v>0</v>
      </c>
      <c r="E172" s="144">
        <v>0</v>
      </c>
      <c r="F172" s="144">
        <v>0</v>
      </c>
      <c r="G172" s="291">
        <v>0</v>
      </c>
      <c r="H172" s="150">
        <v>0</v>
      </c>
      <c r="I172" s="567">
        <f t="shared" si="4"/>
        <v>0</v>
      </c>
    </row>
    <row r="173" spans="1:9" x14ac:dyDescent="0.15">
      <c r="A173" s="138"/>
      <c r="B173" s="521" t="s">
        <v>1625</v>
      </c>
      <c r="C173" s="138" t="s">
        <v>842</v>
      </c>
      <c r="D173" s="144">
        <v>0</v>
      </c>
      <c r="E173" s="144">
        <v>0</v>
      </c>
      <c r="F173" s="144">
        <v>0</v>
      </c>
      <c r="G173" s="291">
        <v>0</v>
      </c>
      <c r="H173" s="150">
        <v>0</v>
      </c>
      <c r="I173" s="567">
        <f t="shared" si="4"/>
        <v>0</v>
      </c>
    </row>
    <row r="174" spans="1:9" x14ac:dyDescent="0.15">
      <c r="A174" s="138"/>
      <c r="B174" s="521" t="s">
        <v>843</v>
      </c>
      <c r="C174" s="138" t="s">
        <v>848</v>
      </c>
      <c r="D174" s="144">
        <v>0</v>
      </c>
      <c r="E174" s="144">
        <v>0</v>
      </c>
      <c r="F174" s="144">
        <v>0</v>
      </c>
      <c r="G174" s="291">
        <v>0</v>
      </c>
      <c r="H174" s="150">
        <v>0</v>
      </c>
      <c r="I174" s="567">
        <f t="shared" si="4"/>
        <v>0</v>
      </c>
    </row>
    <row r="175" spans="1:9" x14ac:dyDescent="0.15">
      <c r="A175" s="138"/>
      <c r="B175" s="521" t="s">
        <v>844</v>
      </c>
      <c r="C175" s="138" t="s">
        <v>186</v>
      </c>
      <c r="D175" s="144">
        <v>0</v>
      </c>
      <c r="E175" s="144">
        <v>0</v>
      </c>
      <c r="F175" s="144">
        <v>0</v>
      </c>
      <c r="G175" s="291">
        <v>0</v>
      </c>
      <c r="H175" s="150">
        <v>0</v>
      </c>
      <c r="I175" s="567">
        <f t="shared" si="4"/>
        <v>0</v>
      </c>
    </row>
    <row r="176" spans="1:9" x14ac:dyDescent="0.15">
      <c r="A176" s="138"/>
      <c r="B176" s="521" t="s">
        <v>845</v>
      </c>
      <c r="C176" s="138" t="s">
        <v>154</v>
      </c>
      <c r="D176" s="144">
        <v>0</v>
      </c>
      <c r="E176" s="144">
        <v>0</v>
      </c>
      <c r="F176" s="144">
        <v>0</v>
      </c>
      <c r="G176" s="291">
        <v>0</v>
      </c>
      <c r="H176" s="150">
        <v>0</v>
      </c>
      <c r="I176" s="567">
        <f t="shared" si="4"/>
        <v>0</v>
      </c>
    </row>
    <row r="177" spans="1:9" x14ac:dyDescent="0.15">
      <c r="A177" s="138"/>
      <c r="B177" s="521" t="s">
        <v>846</v>
      </c>
      <c r="C177" s="138" t="s">
        <v>155</v>
      </c>
      <c r="D177" s="144">
        <v>0</v>
      </c>
      <c r="E177" s="144">
        <v>0</v>
      </c>
      <c r="F177" s="144">
        <v>0</v>
      </c>
      <c r="G177" s="291">
        <v>0</v>
      </c>
      <c r="H177" s="150">
        <v>0</v>
      </c>
      <c r="I177" s="567">
        <f t="shared" si="4"/>
        <v>0</v>
      </c>
    </row>
    <row r="178" spans="1:9" x14ac:dyDescent="0.15">
      <c r="A178" s="138"/>
      <c r="B178" s="521" t="s">
        <v>1582</v>
      </c>
      <c r="C178" s="138" t="s">
        <v>156</v>
      </c>
      <c r="D178" s="144">
        <v>0</v>
      </c>
      <c r="E178" s="144">
        <v>0</v>
      </c>
      <c r="F178" s="144">
        <v>0</v>
      </c>
      <c r="G178" s="291">
        <v>0</v>
      </c>
      <c r="H178" s="150">
        <v>0</v>
      </c>
      <c r="I178" s="567">
        <f t="shared" si="4"/>
        <v>0</v>
      </c>
    </row>
    <row r="179" spans="1:9" x14ac:dyDescent="0.15">
      <c r="A179" s="138"/>
      <c r="B179" s="521" t="s">
        <v>847</v>
      </c>
      <c r="C179" s="138" t="s">
        <v>157</v>
      </c>
      <c r="D179" s="144">
        <v>0</v>
      </c>
      <c r="E179" s="144">
        <v>0</v>
      </c>
      <c r="F179" s="144">
        <v>0</v>
      </c>
      <c r="G179" s="291">
        <v>0</v>
      </c>
      <c r="H179" s="150">
        <v>0</v>
      </c>
      <c r="I179" s="567">
        <f t="shared" si="4"/>
        <v>0</v>
      </c>
    </row>
    <row r="180" spans="1:9" x14ac:dyDescent="0.15">
      <c r="A180" s="138"/>
      <c r="B180" s="521" t="s">
        <v>1583</v>
      </c>
      <c r="C180" s="138" t="s">
        <v>160</v>
      </c>
      <c r="D180" s="144">
        <v>0</v>
      </c>
      <c r="E180" s="144">
        <v>0</v>
      </c>
      <c r="F180" s="144">
        <v>0</v>
      </c>
      <c r="G180" s="291">
        <v>0</v>
      </c>
      <c r="H180" s="150">
        <v>0</v>
      </c>
      <c r="I180" s="567">
        <f t="shared" si="4"/>
        <v>0</v>
      </c>
    </row>
    <row r="181" spans="1:9" x14ac:dyDescent="0.15">
      <c r="A181" s="138"/>
      <c r="B181" s="521" t="s">
        <v>634</v>
      </c>
      <c r="C181" s="138" t="s">
        <v>165</v>
      </c>
      <c r="D181" s="144">
        <v>0</v>
      </c>
      <c r="E181" s="144">
        <v>0</v>
      </c>
      <c r="F181" s="144">
        <v>0</v>
      </c>
      <c r="G181" s="291">
        <v>0</v>
      </c>
      <c r="H181" s="150">
        <v>0</v>
      </c>
      <c r="I181" s="567">
        <f t="shared" si="4"/>
        <v>0</v>
      </c>
    </row>
    <row r="182" spans="1:9" x14ac:dyDescent="0.15">
      <c r="A182" s="138"/>
      <c r="B182" s="521" t="s">
        <v>630</v>
      </c>
      <c r="C182" s="138" t="s">
        <v>172</v>
      </c>
      <c r="D182" s="144">
        <v>0</v>
      </c>
      <c r="E182" s="144">
        <v>0</v>
      </c>
      <c r="F182" s="144">
        <v>0</v>
      </c>
      <c r="G182" s="291">
        <v>0</v>
      </c>
      <c r="H182" s="150">
        <v>0</v>
      </c>
      <c r="I182" s="567">
        <f t="shared" si="4"/>
        <v>0</v>
      </c>
    </row>
    <row r="183" spans="1:9" x14ac:dyDescent="0.15">
      <c r="A183" s="138"/>
      <c r="B183" s="650" t="s">
        <v>631</v>
      </c>
      <c r="C183" s="651" t="s">
        <v>173</v>
      </c>
      <c r="D183" s="144">
        <v>0</v>
      </c>
      <c r="E183" s="144">
        <v>0</v>
      </c>
      <c r="F183" s="144">
        <v>0</v>
      </c>
      <c r="G183" s="291">
        <v>0</v>
      </c>
      <c r="H183" s="150">
        <v>0</v>
      </c>
      <c r="I183" s="567">
        <f t="shared" si="4"/>
        <v>0</v>
      </c>
    </row>
    <row r="184" spans="1:9" x14ac:dyDescent="0.15">
      <c r="A184" s="138"/>
      <c r="B184" s="521" t="s">
        <v>1584</v>
      </c>
      <c r="C184" s="138" t="s">
        <v>178</v>
      </c>
      <c r="D184" s="144">
        <v>0</v>
      </c>
      <c r="E184" s="144">
        <v>0</v>
      </c>
      <c r="F184" s="144">
        <v>0</v>
      </c>
      <c r="G184" s="291">
        <v>0</v>
      </c>
      <c r="H184" s="150">
        <v>0</v>
      </c>
      <c r="I184" s="567">
        <f t="shared" si="4"/>
        <v>0</v>
      </c>
    </row>
    <row r="185" spans="1:9" x14ac:dyDescent="0.15">
      <c r="A185" s="138"/>
      <c r="B185" s="521" t="s">
        <v>174</v>
      </c>
      <c r="C185" s="138" t="s">
        <v>179</v>
      </c>
      <c r="D185" s="144">
        <v>0</v>
      </c>
      <c r="E185" s="144">
        <v>0</v>
      </c>
      <c r="F185" s="144">
        <v>0</v>
      </c>
      <c r="G185" s="291">
        <v>0</v>
      </c>
      <c r="H185" s="150">
        <v>0</v>
      </c>
      <c r="I185" s="567">
        <f t="shared" si="4"/>
        <v>0</v>
      </c>
    </row>
    <row r="186" spans="1:9" x14ac:dyDescent="0.15">
      <c r="A186" s="138"/>
      <c r="B186" s="521" t="s">
        <v>175</v>
      </c>
      <c r="C186" s="138" t="s">
        <v>180</v>
      </c>
      <c r="D186" s="144">
        <v>0</v>
      </c>
      <c r="E186" s="144">
        <v>0</v>
      </c>
      <c r="F186" s="144">
        <v>0</v>
      </c>
      <c r="G186" s="291">
        <v>0</v>
      </c>
      <c r="H186" s="150">
        <v>0</v>
      </c>
      <c r="I186" s="567">
        <f t="shared" si="4"/>
        <v>0</v>
      </c>
    </row>
    <row r="187" spans="1:9" ht="11.25" thickBot="1" x14ac:dyDescent="0.2">
      <c r="A187" s="138"/>
      <c r="B187" s="521" t="s">
        <v>176</v>
      </c>
      <c r="C187" s="138" t="s">
        <v>181</v>
      </c>
      <c r="D187" s="144">
        <v>0</v>
      </c>
      <c r="E187" s="144">
        <v>0</v>
      </c>
      <c r="F187" s="144">
        <v>0</v>
      </c>
      <c r="G187" s="291">
        <v>0</v>
      </c>
      <c r="H187" s="150">
        <v>0</v>
      </c>
      <c r="I187" s="567">
        <f t="shared" si="4"/>
        <v>0</v>
      </c>
    </row>
    <row r="188" spans="1:9" ht="12" thickTop="1" thickBot="1" x14ac:dyDescent="0.2">
      <c r="A188" s="138"/>
      <c r="B188" s="521"/>
      <c r="C188" s="138" t="s">
        <v>222</v>
      </c>
      <c r="D188" s="169">
        <f>SUM(D155:D187)</f>
        <v>0</v>
      </c>
      <c r="E188" s="169">
        <f>SUM(E155:E187)</f>
        <v>0</v>
      </c>
      <c r="F188" s="169">
        <f>SUM(F155:F187)</f>
        <v>0</v>
      </c>
      <c r="G188" s="169">
        <f>SUM(G155:G187)</f>
        <v>0</v>
      </c>
      <c r="H188" s="169">
        <f>SUM(H155:H187)</f>
        <v>0</v>
      </c>
      <c r="I188" s="169">
        <f t="shared" si="4"/>
        <v>0</v>
      </c>
    </row>
    <row r="189" spans="1:9" ht="11.25" thickTop="1" x14ac:dyDescent="0.15">
      <c r="A189" s="512"/>
      <c r="B189" s="138"/>
      <c r="C189" s="138"/>
      <c r="D189" s="14"/>
      <c r="E189" s="14"/>
      <c r="F189" s="14"/>
      <c r="G189" s="14"/>
      <c r="H189" s="14"/>
      <c r="I189" s="563"/>
    </row>
    <row r="190" spans="1:9" x14ac:dyDescent="0.15">
      <c r="A190" s="512" t="s">
        <v>260</v>
      </c>
      <c r="B190" s="138"/>
      <c r="C190" s="138"/>
      <c r="D190" s="14"/>
      <c r="E190" s="14"/>
      <c r="F190" s="14"/>
      <c r="G190" s="14"/>
      <c r="H190" s="14"/>
      <c r="I190" s="563"/>
    </row>
    <row r="191" spans="1:9" s="434" customFormat="1" x14ac:dyDescent="0.15">
      <c r="B191" s="523" t="s">
        <v>1577</v>
      </c>
      <c r="C191" s="524" t="s">
        <v>228</v>
      </c>
      <c r="D191" s="316">
        <v>0</v>
      </c>
      <c r="E191" s="316">
        <v>0</v>
      </c>
      <c r="F191" s="316">
        <v>0</v>
      </c>
      <c r="G191" s="528">
        <f t="array" ref="G191">SUM(IF(CertFund&amp;CertProg&amp;CertObj=RIGHT(LEFT($A$2,7),2)&amp;LEFT(A190,4)&amp;B191,CertSalary))</f>
        <v>0</v>
      </c>
      <c r="H191" s="527">
        <v>0</v>
      </c>
      <c r="I191" s="566">
        <f>SUM(G191+H191)</f>
        <v>0</v>
      </c>
    </row>
    <row r="192" spans="1:9" s="434" customFormat="1" x14ac:dyDescent="0.15">
      <c r="B192" s="523" t="s">
        <v>1577</v>
      </c>
      <c r="C192" s="524" t="s">
        <v>510</v>
      </c>
      <c r="D192" s="316">
        <v>0</v>
      </c>
      <c r="E192" s="316">
        <v>0</v>
      </c>
      <c r="F192" s="316">
        <v>0</v>
      </c>
      <c r="G192" s="316">
        <v>0</v>
      </c>
      <c r="H192" s="527">
        <v>0</v>
      </c>
      <c r="I192" s="566">
        <f>SUM(G192+H192)</f>
        <v>0</v>
      </c>
    </row>
    <row r="193" spans="1:10" s="434" customFormat="1" x14ac:dyDescent="0.15">
      <c r="A193" s="524"/>
      <c r="B193" s="523" t="s">
        <v>1578</v>
      </c>
      <c r="C193" s="524" t="s">
        <v>936</v>
      </c>
      <c r="D193" s="316">
        <v>0</v>
      </c>
      <c r="E193" s="316">
        <v>0</v>
      </c>
      <c r="F193" s="316">
        <v>0</v>
      </c>
      <c r="G193" s="529">
        <f t="array" ref="G193">SUM(IF(CertFund&amp;CertProg&amp;CertObj=RIGHT(LEFT($A$2,7),2)&amp;LEFT(A190,4)&amp;B191,CertBen))</f>
        <v>0</v>
      </c>
      <c r="H193" s="527">
        <v>0</v>
      </c>
      <c r="I193" s="566">
        <f>SUM(G193+H193)</f>
        <v>0</v>
      </c>
    </row>
    <row r="194" spans="1:10" x14ac:dyDescent="0.15">
      <c r="A194" s="138"/>
      <c r="B194" s="521" t="s">
        <v>1578</v>
      </c>
      <c r="C194" s="138" t="s">
        <v>511</v>
      </c>
      <c r="D194" s="147">
        <v>0</v>
      </c>
      <c r="E194" s="147">
        <v>0</v>
      </c>
      <c r="F194" s="147">
        <v>0</v>
      </c>
      <c r="G194" s="147">
        <v>0</v>
      </c>
      <c r="H194" s="150">
        <v>0</v>
      </c>
      <c r="I194" s="567">
        <f>SUM(G194+H194)</f>
        <v>0</v>
      </c>
      <c r="J194" s="434"/>
    </row>
    <row r="195" spans="1:10" x14ac:dyDescent="0.15">
      <c r="A195" s="138"/>
      <c r="B195" s="521" t="s">
        <v>1579</v>
      </c>
      <c r="C195" s="138" t="s">
        <v>118</v>
      </c>
      <c r="D195" s="144">
        <v>0</v>
      </c>
      <c r="E195" s="144">
        <v>0</v>
      </c>
      <c r="F195" s="144">
        <v>0</v>
      </c>
      <c r="G195" s="291">
        <v>0</v>
      </c>
      <c r="H195" s="150">
        <v>0</v>
      </c>
      <c r="I195" s="567">
        <f t="shared" ref="I195:I222" si="5">SUM(G195+H195)</f>
        <v>0</v>
      </c>
    </row>
    <row r="196" spans="1:10" x14ac:dyDescent="0.15">
      <c r="A196" s="138"/>
      <c r="B196" s="521" t="s">
        <v>1580</v>
      </c>
      <c r="C196" s="138" t="s">
        <v>119</v>
      </c>
      <c r="D196" s="144">
        <v>0</v>
      </c>
      <c r="E196" s="144">
        <v>0</v>
      </c>
      <c r="F196" s="144">
        <v>0</v>
      </c>
      <c r="G196" s="291">
        <v>0</v>
      </c>
      <c r="H196" s="150">
        <v>0</v>
      </c>
      <c r="I196" s="567">
        <f t="shared" si="5"/>
        <v>0</v>
      </c>
    </row>
    <row r="197" spans="1:10" x14ac:dyDescent="0.15">
      <c r="A197" s="138"/>
      <c r="B197" s="521" t="s">
        <v>120</v>
      </c>
      <c r="C197" s="138" t="s">
        <v>121</v>
      </c>
      <c r="D197" s="144">
        <v>0</v>
      </c>
      <c r="E197" s="144">
        <v>0</v>
      </c>
      <c r="F197" s="144">
        <v>0</v>
      </c>
      <c r="G197" s="291">
        <v>0</v>
      </c>
      <c r="H197" s="150">
        <v>0</v>
      </c>
      <c r="I197" s="567">
        <f t="shared" si="5"/>
        <v>0</v>
      </c>
    </row>
    <row r="198" spans="1:10" x14ac:dyDescent="0.15">
      <c r="A198" s="138"/>
      <c r="B198" s="521" t="s">
        <v>122</v>
      </c>
      <c r="C198" s="138" t="s">
        <v>123</v>
      </c>
      <c r="D198" s="144">
        <v>0</v>
      </c>
      <c r="E198" s="144">
        <v>0</v>
      </c>
      <c r="F198" s="144">
        <v>0</v>
      </c>
      <c r="G198" s="291">
        <v>0</v>
      </c>
      <c r="H198" s="150">
        <v>0</v>
      </c>
      <c r="I198" s="567">
        <f t="shared" si="5"/>
        <v>0</v>
      </c>
    </row>
    <row r="199" spans="1:10" x14ac:dyDescent="0.15">
      <c r="A199" s="138"/>
      <c r="B199" s="521" t="s">
        <v>1581</v>
      </c>
      <c r="C199" s="138" t="s">
        <v>124</v>
      </c>
      <c r="D199" s="144">
        <v>0</v>
      </c>
      <c r="E199" s="144">
        <v>0</v>
      </c>
      <c r="F199" s="144">
        <v>0</v>
      </c>
      <c r="G199" s="291">
        <v>0</v>
      </c>
      <c r="H199" s="150">
        <v>0</v>
      </c>
      <c r="I199" s="567">
        <f t="shared" si="5"/>
        <v>0</v>
      </c>
    </row>
    <row r="200" spans="1:10" x14ac:dyDescent="0.15">
      <c r="A200" s="138"/>
      <c r="B200" s="521" t="s">
        <v>127</v>
      </c>
      <c r="C200" s="138" t="s">
        <v>134</v>
      </c>
      <c r="D200" s="144">
        <v>0</v>
      </c>
      <c r="E200" s="144">
        <v>0</v>
      </c>
      <c r="F200" s="144">
        <v>0</v>
      </c>
      <c r="G200" s="291">
        <v>0</v>
      </c>
      <c r="H200" s="150">
        <v>0</v>
      </c>
      <c r="I200" s="567">
        <f t="shared" si="5"/>
        <v>0</v>
      </c>
    </row>
    <row r="201" spans="1:10" x14ac:dyDescent="0.15">
      <c r="A201" s="138"/>
      <c r="B201" s="521" t="s">
        <v>132</v>
      </c>
      <c r="C201" s="138" t="s">
        <v>1617</v>
      </c>
      <c r="D201" s="144">
        <v>0</v>
      </c>
      <c r="E201" s="144">
        <v>0</v>
      </c>
      <c r="F201" s="144">
        <v>0</v>
      </c>
      <c r="G201" s="291">
        <v>0</v>
      </c>
      <c r="H201" s="150">
        <v>0</v>
      </c>
      <c r="I201" s="567">
        <f t="shared" si="5"/>
        <v>0</v>
      </c>
    </row>
    <row r="202" spans="1:10" x14ac:dyDescent="0.15">
      <c r="A202" s="138"/>
      <c r="B202" s="521" t="s">
        <v>1618</v>
      </c>
      <c r="C202" s="138" t="s">
        <v>836</v>
      </c>
      <c r="D202" s="144">
        <v>0</v>
      </c>
      <c r="E202" s="144">
        <v>0</v>
      </c>
      <c r="F202" s="144">
        <v>0</v>
      </c>
      <c r="G202" s="291">
        <v>0</v>
      </c>
      <c r="H202" s="150">
        <v>0</v>
      </c>
      <c r="I202" s="567">
        <f t="shared" si="5"/>
        <v>0</v>
      </c>
    </row>
    <row r="203" spans="1:10" x14ac:dyDescent="0.15">
      <c r="A203" s="138"/>
      <c r="B203" s="521" t="s">
        <v>1619</v>
      </c>
      <c r="C203" s="138" t="s">
        <v>185</v>
      </c>
      <c r="D203" s="144">
        <v>0</v>
      </c>
      <c r="E203" s="144">
        <v>0</v>
      </c>
      <c r="F203" s="144">
        <v>0</v>
      </c>
      <c r="G203" s="291">
        <v>0</v>
      </c>
      <c r="H203" s="150">
        <v>0</v>
      </c>
      <c r="I203" s="567">
        <f t="shared" si="5"/>
        <v>0</v>
      </c>
    </row>
    <row r="204" spans="1:10" x14ac:dyDescent="0.15">
      <c r="A204" s="138"/>
      <c r="B204" s="521" t="s">
        <v>1620</v>
      </c>
      <c r="C204" s="138" t="s">
        <v>838</v>
      </c>
      <c r="D204" s="144">
        <v>0</v>
      </c>
      <c r="E204" s="144">
        <v>0</v>
      </c>
      <c r="F204" s="144">
        <v>0</v>
      </c>
      <c r="G204" s="291">
        <v>0</v>
      </c>
      <c r="H204" s="150">
        <v>0</v>
      </c>
      <c r="I204" s="567">
        <f t="shared" si="5"/>
        <v>0</v>
      </c>
    </row>
    <row r="205" spans="1:10" x14ac:dyDescent="0.15">
      <c r="A205" s="138"/>
      <c r="B205" s="521" t="s">
        <v>1621</v>
      </c>
      <c r="C205" s="138" t="s">
        <v>839</v>
      </c>
      <c r="D205" s="144">
        <v>0</v>
      </c>
      <c r="E205" s="144">
        <v>0</v>
      </c>
      <c r="F205" s="144">
        <v>0</v>
      </c>
      <c r="G205" s="291">
        <v>0</v>
      </c>
      <c r="H205" s="150">
        <v>0</v>
      </c>
      <c r="I205" s="567">
        <f t="shared" si="5"/>
        <v>0</v>
      </c>
    </row>
    <row r="206" spans="1:10" x14ac:dyDescent="0.15">
      <c r="A206" s="138"/>
      <c r="B206" s="521" t="s">
        <v>1622</v>
      </c>
      <c r="C206" s="138" t="s">
        <v>190</v>
      </c>
      <c r="D206" s="144">
        <v>0</v>
      </c>
      <c r="E206" s="144">
        <v>0</v>
      </c>
      <c r="F206" s="144">
        <v>0</v>
      </c>
      <c r="G206" s="291">
        <v>0</v>
      </c>
      <c r="H206" s="150">
        <v>0</v>
      </c>
      <c r="I206" s="567">
        <f t="shared" si="5"/>
        <v>0</v>
      </c>
    </row>
    <row r="207" spans="1:10" x14ac:dyDescent="0.15">
      <c r="A207" s="138"/>
      <c r="B207" s="521" t="s">
        <v>1624</v>
      </c>
      <c r="C207" s="138" t="s">
        <v>840</v>
      </c>
      <c r="D207" s="144">
        <v>0</v>
      </c>
      <c r="E207" s="144">
        <v>0</v>
      </c>
      <c r="F207" s="144">
        <v>0</v>
      </c>
      <c r="G207" s="291">
        <v>0</v>
      </c>
      <c r="H207" s="150">
        <v>0</v>
      </c>
      <c r="I207" s="567">
        <f t="shared" si="5"/>
        <v>0</v>
      </c>
    </row>
    <row r="208" spans="1:10" x14ac:dyDescent="0.15">
      <c r="A208" s="138"/>
      <c r="B208" s="521" t="s">
        <v>1625</v>
      </c>
      <c r="C208" s="138" t="s">
        <v>842</v>
      </c>
      <c r="D208" s="144">
        <v>0</v>
      </c>
      <c r="E208" s="144">
        <v>0</v>
      </c>
      <c r="F208" s="144">
        <v>0</v>
      </c>
      <c r="G208" s="291">
        <v>0</v>
      </c>
      <c r="H208" s="150">
        <v>0</v>
      </c>
      <c r="I208" s="567">
        <f t="shared" si="5"/>
        <v>0</v>
      </c>
    </row>
    <row r="209" spans="1:9" x14ac:dyDescent="0.15">
      <c r="A209" s="138"/>
      <c r="B209" s="521" t="s">
        <v>843</v>
      </c>
      <c r="C209" s="138" t="s">
        <v>848</v>
      </c>
      <c r="D209" s="144">
        <v>0</v>
      </c>
      <c r="E209" s="144">
        <v>0</v>
      </c>
      <c r="F209" s="144">
        <v>0</v>
      </c>
      <c r="G209" s="291">
        <v>0</v>
      </c>
      <c r="H209" s="150">
        <v>0</v>
      </c>
      <c r="I209" s="567">
        <f t="shared" si="5"/>
        <v>0</v>
      </c>
    </row>
    <row r="210" spans="1:9" x14ac:dyDescent="0.15">
      <c r="A210" s="138"/>
      <c r="B210" s="521" t="s">
        <v>844</v>
      </c>
      <c r="C210" s="138" t="s">
        <v>186</v>
      </c>
      <c r="D210" s="144">
        <v>0</v>
      </c>
      <c r="E210" s="144">
        <v>0</v>
      </c>
      <c r="F210" s="144">
        <v>0</v>
      </c>
      <c r="G210" s="291">
        <v>0</v>
      </c>
      <c r="H210" s="150">
        <v>0</v>
      </c>
      <c r="I210" s="567">
        <f t="shared" si="5"/>
        <v>0</v>
      </c>
    </row>
    <row r="211" spans="1:9" x14ac:dyDescent="0.15">
      <c r="A211" s="138"/>
      <c r="B211" s="521" t="s">
        <v>845</v>
      </c>
      <c r="C211" s="138" t="s">
        <v>154</v>
      </c>
      <c r="D211" s="144">
        <v>0</v>
      </c>
      <c r="E211" s="144">
        <v>0</v>
      </c>
      <c r="F211" s="144">
        <v>0</v>
      </c>
      <c r="G211" s="291">
        <v>0</v>
      </c>
      <c r="H211" s="150">
        <v>0</v>
      </c>
      <c r="I211" s="567">
        <f t="shared" si="5"/>
        <v>0</v>
      </c>
    </row>
    <row r="212" spans="1:9" x14ac:dyDescent="0.15">
      <c r="A212" s="138"/>
      <c r="B212" s="521" t="s">
        <v>846</v>
      </c>
      <c r="C212" s="138" t="s">
        <v>155</v>
      </c>
      <c r="D212" s="144">
        <v>0</v>
      </c>
      <c r="E212" s="144">
        <v>0</v>
      </c>
      <c r="F212" s="144">
        <v>0</v>
      </c>
      <c r="G212" s="291">
        <v>0</v>
      </c>
      <c r="H212" s="150">
        <v>0</v>
      </c>
      <c r="I212" s="567">
        <f t="shared" si="5"/>
        <v>0</v>
      </c>
    </row>
    <row r="213" spans="1:9" x14ac:dyDescent="0.15">
      <c r="A213" s="138"/>
      <c r="B213" s="521" t="s">
        <v>1582</v>
      </c>
      <c r="C213" s="138" t="s">
        <v>156</v>
      </c>
      <c r="D213" s="144">
        <v>0</v>
      </c>
      <c r="E213" s="144">
        <v>0</v>
      </c>
      <c r="F213" s="144">
        <v>0</v>
      </c>
      <c r="G213" s="291">
        <v>0</v>
      </c>
      <c r="H213" s="150">
        <v>0</v>
      </c>
      <c r="I213" s="567">
        <f t="shared" si="5"/>
        <v>0</v>
      </c>
    </row>
    <row r="214" spans="1:9" x14ac:dyDescent="0.15">
      <c r="A214" s="138"/>
      <c r="B214" s="521" t="s">
        <v>847</v>
      </c>
      <c r="C214" s="138" t="s">
        <v>157</v>
      </c>
      <c r="D214" s="144">
        <v>0</v>
      </c>
      <c r="E214" s="144">
        <v>0</v>
      </c>
      <c r="F214" s="144">
        <v>0</v>
      </c>
      <c r="G214" s="291">
        <v>0</v>
      </c>
      <c r="H214" s="150">
        <v>0</v>
      </c>
      <c r="I214" s="567">
        <f t="shared" si="5"/>
        <v>0</v>
      </c>
    </row>
    <row r="215" spans="1:9" x14ac:dyDescent="0.15">
      <c r="A215" s="138"/>
      <c r="B215" s="521" t="s">
        <v>1583</v>
      </c>
      <c r="C215" s="138" t="s">
        <v>160</v>
      </c>
      <c r="D215" s="144">
        <v>0</v>
      </c>
      <c r="E215" s="144">
        <v>0</v>
      </c>
      <c r="F215" s="144">
        <v>0</v>
      </c>
      <c r="G215" s="291">
        <v>0</v>
      </c>
      <c r="H215" s="150">
        <v>0</v>
      </c>
      <c r="I215" s="567">
        <f t="shared" si="5"/>
        <v>0</v>
      </c>
    </row>
    <row r="216" spans="1:9" x14ac:dyDescent="0.15">
      <c r="A216" s="138"/>
      <c r="B216" s="521" t="s">
        <v>634</v>
      </c>
      <c r="C216" s="138" t="s">
        <v>165</v>
      </c>
      <c r="D216" s="144">
        <v>0</v>
      </c>
      <c r="E216" s="144">
        <v>0</v>
      </c>
      <c r="F216" s="144">
        <v>0</v>
      </c>
      <c r="G216" s="291">
        <v>0</v>
      </c>
      <c r="H216" s="150">
        <v>0</v>
      </c>
      <c r="I216" s="567">
        <f t="shared" si="5"/>
        <v>0</v>
      </c>
    </row>
    <row r="217" spans="1:9" x14ac:dyDescent="0.15">
      <c r="A217" s="138"/>
      <c r="B217" s="521" t="s">
        <v>630</v>
      </c>
      <c r="C217" s="138" t="s">
        <v>172</v>
      </c>
      <c r="D217" s="144">
        <v>0</v>
      </c>
      <c r="E217" s="144">
        <v>0</v>
      </c>
      <c r="F217" s="144">
        <v>0</v>
      </c>
      <c r="G217" s="291">
        <v>0</v>
      </c>
      <c r="H217" s="150">
        <v>0</v>
      </c>
      <c r="I217" s="567">
        <f t="shared" si="5"/>
        <v>0</v>
      </c>
    </row>
    <row r="218" spans="1:9" x14ac:dyDescent="0.15">
      <c r="A218" s="138"/>
      <c r="B218" s="650" t="s">
        <v>631</v>
      </c>
      <c r="C218" s="651" t="s">
        <v>173</v>
      </c>
      <c r="D218" s="144">
        <v>0</v>
      </c>
      <c r="E218" s="144">
        <v>0</v>
      </c>
      <c r="F218" s="144">
        <v>0</v>
      </c>
      <c r="G218" s="291">
        <v>0</v>
      </c>
      <c r="H218" s="150">
        <v>0</v>
      </c>
      <c r="I218" s="567">
        <f t="shared" si="5"/>
        <v>0</v>
      </c>
    </row>
    <row r="219" spans="1:9" x14ac:dyDescent="0.15">
      <c r="A219" s="138"/>
      <c r="B219" s="521" t="s">
        <v>1584</v>
      </c>
      <c r="C219" s="138" t="s">
        <v>178</v>
      </c>
      <c r="D219" s="144">
        <v>0</v>
      </c>
      <c r="E219" s="144">
        <v>0</v>
      </c>
      <c r="F219" s="144">
        <v>0</v>
      </c>
      <c r="G219" s="291">
        <v>0</v>
      </c>
      <c r="H219" s="150">
        <v>0</v>
      </c>
      <c r="I219" s="567">
        <f t="shared" si="5"/>
        <v>0</v>
      </c>
    </row>
    <row r="220" spans="1:9" x14ac:dyDescent="0.15">
      <c r="A220" s="138"/>
      <c r="B220" s="521" t="s">
        <v>174</v>
      </c>
      <c r="C220" s="138" t="s">
        <v>179</v>
      </c>
      <c r="D220" s="144">
        <v>0</v>
      </c>
      <c r="E220" s="144">
        <v>0</v>
      </c>
      <c r="F220" s="144">
        <v>0</v>
      </c>
      <c r="G220" s="291">
        <v>0</v>
      </c>
      <c r="H220" s="150">
        <v>0</v>
      </c>
      <c r="I220" s="567">
        <f t="shared" si="5"/>
        <v>0</v>
      </c>
    </row>
    <row r="221" spans="1:9" x14ac:dyDescent="0.15">
      <c r="A221" s="138"/>
      <c r="B221" s="521" t="s">
        <v>175</v>
      </c>
      <c r="C221" s="138" t="s">
        <v>180</v>
      </c>
      <c r="D221" s="144">
        <v>0</v>
      </c>
      <c r="E221" s="144">
        <v>0</v>
      </c>
      <c r="F221" s="144">
        <v>0</v>
      </c>
      <c r="G221" s="291">
        <v>0</v>
      </c>
      <c r="H221" s="150">
        <v>0</v>
      </c>
      <c r="I221" s="567">
        <f t="shared" si="5"/>
        <v>0</v>
      </c>
    </row>
    <row r="222" spans="1:9" ht="11.25" thickBot="1" x14ac:dyDescent="0.2">
      <c r="A222" s="138"/>
      <c r="B222" s="521" t="s">
        <v>176</v>
      </c>
      <c r="C222" s="138" t="s">
        <v>181</v>
      </c>
      <c r="D222" s="144">
        <v>0</v>
      </c>
      <c r="E222" s="144">
        <v>0</v>
      </c>
      <c r="F222" s="144">
        <v>0</v>
      </c>
      <c r="G222" s="291">
        <v>0</v>
      </c>
      <c r="H222" s="150">
        <v>0</v>
      </c>
      <c r="I222" s="567">
        <f t="shared" si="5"/>
        <v>0</v>
      </c>
    </row>
    <row r="223" spans="1:9" ht="12" thickTop="1" thickBot="1" x14ac:dyDescent="0.2">
      <c r="A223" s="138"/>
      <c r="B223" s="521"/>
      <c r="C223" s="138" t="s">
        <v>261</v>
      </c>
      <c r="D223" s="169">
        <f>SUM(D191:D222)</f>
        <v>0</v>
      </c>
      <c r="E223" s="169">
        <f>SUM(E191:E222)</f>
        <v>0</v>
      </c>
      <c r="F223" s="169">
        <f>SUM(F191:F222)</f>
        <v>0</v>
      </c>
      <c r="G223" s="169">
        <f>SUM(G191:G222)</f>
        <v>0</v>
      </c>
      <c r="H223" s="169">
        <f>SUM(H191:H222)</f>
        <v>0</v>
      </c>
      <c r="I223" s="169">
        <f>SUM(G224+H223)</f>
        <v>0</v>
      </c>
    </row>
    <row r="224" spans="1:9" ht="11.25" thickTop="1" x14ac:dyDescent="0.15">
      <c r="A224" s="512"/>
      <c r="B224" s="138"/>
      <c r="C224" s="138"/>
      <c r="D224" s="14"/>
      <c r="E224" s="14"/>
      <c r="F224" s="14"/>
      <c r="G224" s="14"/>
      <c r="H224" s="170"/>
      <c r="I224" s="170"/>
    </row>
    <row r="225" spans="1:10" x14ac:dyDescent="0.15">
      <c r="A225" s="512" t="s">
        <v>223</v>
      </c>
      <c r="B225" s="512"/>
      <c r="C225" s="512"/>
      <c r="D225" s="14"/>
      <c r="E225" s="14"/>
      <c r="F225" s="14"/>
      <c r="G225" s="14"/>
      <c r="H225" s="14"/>
      <c r="I225" s="563"/>
    </row>
    <row r="226" spans="1:10" s="434" customFormat="1" x14ac:dyDescent="0.15">
      <c r="B226" s="523" t="s">
        <v>1577</v>
      </c>
      <c r="C226" s="524" t="s">
        <v>228</v>
      </c>
      <c r="D226" s="316">
        <v>0</v>
      </c>
      <c r="E226" s="316">
        <v>0</v>
      </c>
      <c r="F226" s="316">
        <v>0</v>
      </c>
      <c r="G226" s="528">
        <f t="array" ref="G226">SUM(IF(CertFund&amp;CertProg&amp;CertObj=RIGHT(LEFT($A$2,7),2)&amp;LEFT(A225,4)&amp;B226,CertSalary))</f>
        <v>0</v>
      </c>
      <c r="H226" s="527">
        <v>0</v>
      </c>
      <c r="I226" s="566">
        <f t="shared" ref="I226:I259" si="6">SUM(G226+H226)</f>
        <v>0</v>
      </c>
    </row>
    <row r="227" spans="1:10" s="434" customFormat="1" x14ac:dyDescent="0.15">
      <c r="B227" s="523" t="s">
        <v>1577</v>
      </c>
      <c r="C227" s="524" t="s">
        <v>510</v>
      </c>
      <c r="D227" s="316">
        <v>0</v>
      </c>
      <c r="E227" s="316">
        <v>0</v>
      </c>
      <c r="F227" s="316">
        <v>0</v>
      </c>
      <c r="G227" s="316">
        <v>0</v>
      </c>
      <c r="H227" s="527">
        <v>0</v>
      </c>
      <c r="I227" s="566">
        <f t="shared" si="6"/>
        <v>0</v>
      </c>
    </row>
    <row r="228" spans="1:10" s="434" customFormat="1" x14ac:dyDescent="0.15">
      <c r="A228" s="524"/>
      <c r="B228" s="523" t="s">
        <v>1578</v>
      </c>
      <c r="C228" s="524" t="s">
        <v>936</v>
      </c>
      <c r="D228" s="316">
        <v>0</v>
      </c>
      <c r="E228" s="316">
        <v>0</v>
      </c>
      <c r="F228" s="316">
        <v>0</v>
      </c>
      <c r="G228" s="529">
        <f t="array" ref="G228">SUM(IF(CertFund&amp;CertProg&amp;CertObj=RIGHT(LEFT($A$2,7),2)&amp;LEFT(A225,4)&amp;B226,CertBen))</f>
        <v>0</v>
      </c>
      <c r="H228" s="527">
        <v>0</v>
      </c>
      <c r="I228" s="566">
        <f t="shared" si="6"/>
        <v>0</v>
      </c>
    </row>
    <row r="229" spans="1:10" x14ac:dyDescent="0.15">
      <c r="A229" s="138"/>
      <c r="B229" s="521" t="s">
        <v>1578</v>
      </c>
      <c r="C229" s="138" t="s">
        <v>511</v>
      </c>
      <c r="D229" s="147">
        <v>0</v>
      </c>
      <c r="E229" s="147">
        <v>0</v>
      </c>
      <c r="F229" s="147">
        <v>0</v>
      </c>
      <c r="G229" s="147">
        <v>0</v>
      </c>
      <c r="H229" s="150">
        <v>0</v>
      </c>
      <c r="I229" s="567">
        <f t="shared" si="6"/>
        <v>0</v>
      </c>
      <c r="J229" s="434"/>
    </row>
    <row r="230" spans="1:10" x14ac:dyDescent="0.15">
      <c r="A230" s="138"/>
      <c r="B230" s="521" t="s">
        <v>1579</v>
      </c>
      <c r="C230" s="138" t="s">
        <v>118</v>
      </c>
      <c r="D230" s="144">
        <v>0</v>
      </c>
      <c r="E230" s="144">
        <v>0</v>
      </c>
      <c r="F230" s="144">
        <v>0</v>
      </c>
      <c r="G230" s="291">
        <v>0</v>
      </c>
      <c r="H230" s="150">
        <v>0</v>
      </c>
      <c r="I230" s="567">
        <f t="shared" si="6"/>
        <v>0</v>
      </c>
    </row>
    <row r="231" spans="1:10" x14ac:dyDescent="0.15">
      <c r="A231" s="138"/>
      <c r="B231" s="521" t="s">
        <v>1580</v>
      </c>
      <c r="C231" s="138" t="s">
        <v>119</v>
      </c>
      <c r="D231" s="144">
        <v>0</v>
      </c>
      <c r="E231" s="144">
        <v>0</v>
      </c>
      <c r="F231" s="144">
        <v>0</v>
      </c>
      <c r="G231" s="291">
        <v>0</v>
      </c>
      <c r="H231" s="150">
        <v>0</v>
      </c>
      <c r="I231" s="567">
        <f t="shared" si="6"/>
        <v>0</v>
      </c>
    </row>
    <row r="232" spans="1:10" x14ac:dyDescent="0.15">
      <c r="A232" s="138"/>
      <c r="B232" s="521" t="s">
        <v>120</v>
      </c>
      <c r="C232" s="138" t="s">
        <v>121</v>
      </c>
      <c r="D232" s="144">
        <v>0</v>
      </c>
      <c r="E232" s="144">
        <v>0</v>
      </c>
      <c r="F232" s="144">
        <v>0</v>
      </c>
      <c r="G232" s="291">
        <v>0</v>
      </c>
      <c r="H232" s="150">
        <v>0</v>
      </c>
      <c r="I232" s="567">
        <f t="shared" si="6"/>
        <v>0</v>
      </c>
    </row>
    <row r="233" spans="1:10" x14ac:dyDescent="0.15">
      <c r="A233" s="138"/>
      <c r="B233" s="521" t="s">
        <v>122</v>
      </c>
      <c r="C233" s="138" t="s">
        <v>123</v>
      </c>
      <c r="D233" s="144">
        <v>0</v>
      </c>
      <c r="E233" s="144">
        <v>0</v>
      </c>
      <c r="F233" s="144">
        <v>0</v>
      </c>
      <c r="G233" s="291">
        <v>0</v>
      </c>
      <c r="H233" s="150">
        <v>0</v>
      </c>
      <c r="I233" s="567">
        <f t="shared" si="6"/>
        <v>0</v>
      </c>
    </row>
    <row r="234" spans="1:10" x14ac:dyDescent="0.15">
      <c r="A234" s="138"/>
      <c r="B234" s="521" t="s">
        <v>1581</v>
      </c>
      <c r="C234" s="138" t="s">
        <v>124</v>
      </c>
      <c r="D234" s="144">
        <v>0</v>
      </c>
      <c r="E234" s="144">
        <v>0</v>
      </c>
      <c r="F234" s="144">
        <v>0</v>
      </c>
      <c r="G234" s="291">
        <v>0</v>
      </c>
      <c r="H234" s="150">
        <v>0</v>
      </c>
      <c r="I234" s="567">
        <f t="shared" si="6"/>
        <v>0</v>
      </c>
    </row>
    <row r="235" spans="1:10" x14ac:dyDescent="0.15">
      <c r="A235" s="138"/>
      <c r="B235" s="521" t="s">
        <v>127</v>
      </c>
      <c r="C235" s="138" t="s">
        <v>134</v>
      </c>
      <c r="D235" s="144">
        <v>0</v>
      </c>
      <c r="E235" s="144">
        <v>0</v>
      </c>
      <c r="F235" s="144">
        <v>0</v>
      </c>
      <c r="G235" s="291">
        <v>0</v>
      </c>
      <c r="H235" s="150">
        <v>0</v>
      </c>
      <c r="I235" s="567">
        <f t="shared" si="6"/>
        <v>0</v>
      </c>
    </row>
    <row r="236" spans="1:10" x14ac:dyDescent="0.15">
      <c r="A236" s="138"/>
      <c r="B236" s="521" t="s">
        <v>132</v>
      </c>
      <c r="C236" s="138" t="s">
        <v>1617</v>
      </c>
      <c r="D236" s="144">
        <v>0</v>
      </c>
      <c r="E236" s="144">
        <v>0</v>
      </c>
      <c r="F236" s="144">
        <v>0</v>
      </c>
      <c r="G236" s="291">
        <v>0</v>
      </c>
      <c r="H236" s="150">
        <v>0</v>
      </c>
      <c r="I236" s="567">
        <f t="shared" si="6"/>
        <v>0</v>
      </c>
    </row>
    <row r="237" spans="1:10" x14ac:dyDescent="0.15">
      <c r="A237" s="138"/>
      <c r="B237" s="521" t="s">
        <v>1618</v>
      </c>
      <c r="C237" s="138" t="s">
        <v>836</v>
      </c>
      <c r="D237" s="144">
        <v>0</v>
      </c>
      <c r="E237" s="144">
        <v>0</v>
      </c>
      <c r="F237" s="144">
        <v>0</v>
      </c>
      <c r="G237" s="291">
        <v>0</v>
      </c>
      <c r="H237" s="150">
        <v>0</v>
      </c>
      <c r="I237" s="567">
        <f t="shared" si="6"/>
        <v>0</v>
      </c>
    </row>
    <row r="238" spans="1:10" x14ac:dyDescent="0.15">
      <c r="A238" s="138"/>
      <c r="B238" s="521" t="s">
        <v>1619</v>
      </c>
      <c r="C238" s="138" t="s">
        <v>185</v>
      </c>
      <c r="D238" s="144">
        <v>0</v>
      </c>
      <c r="E238" s="144">
        <v>0</v>
      </c>
      <c r="F238" s="144">
        <v>0</v>
      </c>
      <c r="G238" s="291">
        <v>0</v>
      </c>
      <c r="H238" s="150">
        <v>0</v>
      </c>
      <c r="I238" s="567">
        <f t="shared" si="6"/>
        <v>0</v>
      </c>
    </row>
    <row r="239" spans="1:10" x14ac:dyDescent="0.15">
      <c r="A239" s="138"/>
      <c r="B239" s="521" t="s">
        <v>1620</v>
      </c>
      <c r="C239" s="138" t="s">
        <v>838</v>
      </c>
      <c r="D239" s="144">
        <v>0</v>
      </c>
      <c r="E239" s="144">
        <v>0</v>
      </c>
      <c r="F239" s="144">
        <v>0</v>
      </c>
      <c r="G239" s="291">
        <v>0</v>
      </c>
      <c r="H239" s="150">
        <v>0</v>
      </c>
      <c r="I239" s="567">
        <f t="shared" si="6"/>
        <v>0</v>
      </c>
    </row>
    <row r="240" spans="1:10" x14ac:dyDescent="0.15">
      <c r="A240" s="138"/>
      <c r="B240" s="521" t="s">
        <v>1621</v>
      </c>
      <c r="C240" s="138" t="s">
        <v>839</v>
      </c>
      <c r="D240" s="144">
        <v>0</v>
      </c>
      <c r="E240" s="144">
        <v>0</v>
      </c>
      <c r="F240" s="144">
        <v>0</v>
      </c>
      <c r="G240" s="291">
        <v>0</v>
      </c>
      <c r="H240" s="150">
        <v>0</v>
      </c>
      <c r="I240" s="567">
        <f t="shared" si="6"/>
        <v>0</v>
      </c>
    </row>
    <row r="241" spans="1:9" x14ac:dyDescent="0.15">
      <c r="A241" s="138"/>
      <c r="B241" s="521" t="s">
        <v>1622</v>
      </c>
      <c r="C241" s="138" t="s">
        <v>190</v>
      </c>
      <c r="D241" s="144">
        <v>0</v>
      </c>
      <c r="E241" s="144">
        <v>0</v>
      </c>
      <c r="F241" s="144">
        <v>0</v>
      </c>
      <c r="G241" s="291">
        <v>0</v>
      </c>
      <c r="H241" s="150">
        <v>0</v>
      </c>
      <c r="I241" s="567">
        <f t="shared" si="6"/>
        <v>0</v>
      </c>
    </row>
    <row r="242" spans="1:9" x14ac:dyDescent="0.15">
      <c r="A242" s="138"/>
      <c r="B242" s="521" t="s">
        <v>1623</v>
      </c>
      <c r="C242" s="138" t="s">
        <v>191</v>
      </c>
      <c r="D242" s="144">
        <v>0</v>
      </c>
      <c r="E242" s="144">
        <v>0</v>
      </c>
      <c r="F242" s="144">
        <v>0</v>
      </c>
      <c r="G242" s="291">
        <v>0</v>
      </c>
      <c r="H242" s="150">
        <v>0</v>
      </c>
      <c r="I242" s="567">
        <f t="shared" si="6"/>
        <v>0</v>
      </c>
    </row>
    <row r="243" spans="1:9" x14ac:dyDescent="0.15">
      <c r="A243" s="138"/>
      <c r="B243" s="521" t="s">
        <v>1624</v>
      </c>
      <c r="C243" s="138" t="s">
        <v>840</v>
      </c>
      <c r="D243" s="144">
        <v>0</v>
      </c>
      <c r="E243" s="144">
        <v>0</v>
      </c>
      <c r="F243" s="144">
        <v>0</v>
      </c>
      <c r="G243" s="291">
        <v>0</v>
      </c>
      <c r="H243" s="150">
        <v>0</v>
      </c>
      <c r="I243" s="567">
        <f t="shared" si="6"/>
        <v>0</v>
      </c>
    </row>
    <row r="244" spans="1:9" x14ac:dyDescent="0.15">
      <c r="A244" s="138"/>
      <c r="B244" s="521" t="s">
        <v>1625</v>
      </c>
      <c r="C244" s="138" t="s">
        <v>842</v>
      </c>
      <c r="D244" s="144">
        <v>0</v>
      </c>
      <c r="E244" s="144">
        <v>0</v>
      </c>
      <c r="F244" s="144">
        <v>0</v>
      </c>
      <c r="G244" s="291">
        <v>0</v>
      </c>
      <c r="H244" s="150">
        <v>0</v>
      </c>
      <c r="I244" s="567">
        <f t="shared" si="6"/>
        <v>0</v>
      </c>
    </row>
    <row r="245" spans="1:9" x14ac:dyDescent="0.15">
      <c r="A245" s="138"/>
      <c r="B245" s="521" t="s">
        <v>843</v>
      </c>
      <c r="C245" s="138" t="s">
        <v>848</v>
      </c>
      <c r="D245" s="144">
        <v>0</v>
      </c>
      <c r="E245" s="144">
        <v>0</v>
      </c>
      <c r="F245" s="144">
        <v>0</v>
      </c>
      <c r="G245" s="291">
        <v>0</v>
      </c>
      <c r="H245" s="150">
        <v>0</v>
      </c>
      <c r="I245" s="567">
        <f t="shared" si="6"/>
        <v>0</v>
      </c>
    </row>
    <row r="246" spans="1:9" x14ac:dyDescent="0.15">
      <c r="A246" s="138"/>
      <c r="B246" s="521" t="s">
        <v>844</v>
      </c>
      <c r="C246" s="138" t="s">
        <v>186</v>
      </c>
      <c r="D246" s="144">
        <v>0</v>
      </c>
      <c r="E246" s="144">
        <v>0</v>
      </c>
      <c r="F246" s="144">
        <v>0</v>
      </c>
      <c r="G246" s="291">
        <v>0</v>
      </c>
      <c r="H246" s="150">
        <v>0</v>
      </c>
      <c r="I246" s="567">
        <f t="shared" si="6"/>
        <v>0</v>
      </c>
    </row>
    <row r="247" spans="1:9" x14ac:dyDescent="0.15">
      <c r="A247" s="138"/>
      <c r="B247" s="521" t="s">
        <v>845</v>
      </c>
      <c r="C247" s="138" t="s">
        <v>154</v>
      </c>
      <c r="D247" s="144">
        <v>0</v>
      </c>
      <c r="E247" s="144">
        <v>0</v>
      </c>
      <c r="F247" s="144">
        <v>0</v>
      </c>
      <c r="G247" s="291">
        <v>0</v>
      </c>
      <c r="H247" s="150">
        <v>0</v>
      </c>
      <c r="I247" s="567">
        <f t="shared" si="6"/>
        <v>0</v>
      </c>
    </row>
    <row r="248" spans="1:9" x14ac:dyDescent="0.15">
      <c r="A248" s="138"/>
      <c r="B248" s="521" t="s">
        <v>846</v>
      </c>
      <c r="C248" s="138" t="s">
        <v>155</v>
      </c>
      <c r="D248" s="144">
        <v>0</v>
      </c>
      <c r="E248" s="144">
        <v>0</v>
      </c>
      <c r="F248" s="144">
        <v>0</v>
      </c>
      <c r="G248" s="291">
        <v>0</v>
      </c>
      <c r="H248" s="150">
        <v>0</v>
      </c>
      <c r="I248" s="567">
        <f t="shared" si="6"/>
        <v>0</v>
      </c>
    </row>
    <row r="249" spans="1:9" x14ac:dyDescent="0.15">
      <c r="A249" s="138"/>
      <c r="B249" s="521" t="s">
        <v>1582</v>
      </c>
      <c r="C249" s="138" t="s">
        <v>156</v>
      </c>
      <c r="D249" s="144">
        <v>0</v>
      </c>
      <c r="E249" s="144">
        <v>0</v>
      </c>
      <c r="F249" s="144">
        <v>0</v>
      </c>
      <c r="G249" s="291">
        <v>0</v>
      </c>
      <c r="H249" s="150">
        <v>0</v>
      </c>
      <c r="I249" s="567">
        <f t="shared" si="6"/>
        <v>0</v>
      </c>
    </row>
    <row r="250" spans="1:9" x14ac:dyDescent="0.15">
      <c r="A250" s="138"/>
      <c r="B250" s="521" t="s">
        <v>847</v>
      </c>
      <c r="C250" s="138" t="s">
        <v>157</v>
      </c>
      <c r="D250" s="144">
        <v>0</v>
      </c>
      <c r="E250" s="144">
        <v>0</v>
      </c>
      <c r="F250" s="144">
        <v>0</v>
      </c>
      <c r="G250" s="291">
        <v>0</v>
      </c>
      <c r="H250" s="150">
        <v>0</v>
      </c>
      <c r="I250" s="567">
        <f t="shared" si="6"/>
        <v>0</v>
      </c>
    </row>
    <row r="251" spans="1:9" x14ac:dyDescent="0.15">
      <c r="A251" s="138"/>
      <c r="B251" s="521" t="s">
        <v>1583</v>
      </c>
      <c r="C251" s="138" t="s">
        <v>160</v>
      </c>
      <c r="D251" s="144">
        <v>0</v>
      </c>
      <c r="E251" s="144">
        <v>0</v>
      </c>
      <c r="F251" s="144">
        <v>0</v>
      </c>
      <c r="G251" s="291">
        <v>0</v>
      </c>
      <c r="H251" s="150">
        <v>0</v>
      </c>
      <c r="I251" s="567">
        <f t="shared" si="6"/>
        <v>0</v>
      </c>
    </row>
    <row r="252" spans="1:9" x14ac:dyDescent="0.15">
      <c r="A252" s="138"/>
      <c r="B252" s="521" t="s">
        <v>634</v>
      </c>
      <c r="C252" s="138" t="s">
        <v>165</v>
      </c>
      <c r="D252" s="144">
        <v>0</v>
      </c>
      <c r="E252" s="144">
        <v>0</v>
      </c>
      <c r="F252" s="144">
        <v>0</v>
      </c>
      <c r="G252" s="291">
        <v>0</v>
      </c>
      <c r="H252" s="150">
        <v>0</v>
      </c>
      <c r="I252" s="567">
        <f t="shared" si="6"/>
        <v>0</v>
      </c>
    </row>
    <row r="253" spans="1:9" x14ac:dyDescent="0.15">
      <c r="A253" s="138"/>
      <c r="B253" s="521" t="s">
        <v>630</v>
      </c>
      <c r="C253" s="138" t="s">
        <v>172</v>
      </c>
      <c r="D253" s="144">
        <v>0</v>
      </c>
      <c r="E253" s="144">
        <v>0</v>
      </c>
      <c r="F253" s="144">
        <v>0</v>
      </c>
      <c r="G253" s="291">
        <v>0</v>
      </c>
      <c r="H253" s="150">
        <v>0</v>
      </c>
      <c r="I253" s="567">
        <f t="shared" si="6"/>
        <v>0</v>
      </c>
    </row>
    <row r="254" spans="1:9" x14ac:dyDescent="0.15">
      <c r="A254" s="138"/>
      <c r="B254" s="650" t="s">
        <v>631</v>
      </c>
      <c r="C254" s="651" t="s">
        <v>173</v>
      </c>
      <c r="D254" s="144">
        <v>0</v>
      </c>
      <c r="E254" s="144">
        <v>0</v>
      </c>
      <c r="F254" s="144">
        <v>0</v>
      </c>
      <c r="G254" s="291">
        <v>0</v>
      </c>
      <c r="H254" s="150">
        <v>0</v>
      </c>
      <c r="I254" s="567">
        <f t="shared" si="6"/>
        <v>0</v>
      </c>
    </row>
    <row r="255" spans="1:9" x14ac:dyDescent="0.15">
      <c r="A255" s="138"/>
      <c r="B255" s="521" t="s">
        <v>1584</v>
      </c>
      <c r="C255" s="138" t="s">
        <v>178</v>
      </c>
      <c r="D255" s="144">
        <v>0</v>
      </c>
      <c r="E255" s="144">
        <v>0</v>
      </c>
      <c r="F255" s="144">
        <v>0</v>
      </c>
      <c r="G255" s="291">
        <v>0</v>
      </c>
      <c r="H255" s="150">
        <v>0</v>
      </c>
      <c r="I255" s="567">
        <f t="shared" si="6"/>
        <v>0</v>
      </c>
    </row>
    <row r="256" spans="1:9" x14ac:dyDescent="0.15">
      <c r="A256" s="138"/>
      <c r="B256" s="521" t="s">
        <v>174</v>
      </c>
      <c r="C256" s="138" t="s">
        <v>179</v>
      </c>
      <c r="D256" s="144">
        <v>0</v>
      </c>
      <c r="E256" s="144">
        <v>0</v>
      </c>
      <c r="F256" s="144">
        <v>0</v>
      </c>
      <c r="G256" s="291">
        <v>0</v>
      </c>
      <c r="H256" s="150">
        <v>0</v>
      </c>
      <c r="I256" s="567">
        <f t="shared" si="6"/>
        <v>0</v>
      </c>
    </row>
    <row r="257" spans="1:10" x14ac:dyDescent="0.15">
      <c r="A257" s="138"/>
      <c r="B257" s="521" t="s">
        <v>175</v>
      </c>
      <c r="C257" s="138" t="s">
        <v>180</v>
      </c>
      <c r="D257" s="144">
        <v>0</v>
      </c>
      <c r="E257" s="144">
        <v>0</v>
      </c>
      <c r="F257" s="144">
        <v>0</v>
      </c>
      <c r="G257" s="291">
        <v>0</v>
      </c>
      <c r="H257" s="150">
        <v>0</v>
      </c>
      <c r="I257" s="567">
        <f t="shared" si="6"/>
        <v>0</v>
      </c>
    </row>
    <row r="258" spans="1:10" ht="11.25" thickBot="1" x14ac:dyDescent="0.2">
      <c r="A258" s="138"/>
      <c r="B258" s="521" t="s">
        <v>176</v>
      </c>
      <c r="C258" s="138" t="s">
        <v>181</v>
      </c>
      <c r="D258" s="144">
        <v>0</v>
      </c>
      <c r="E258" s="144">
        <v>0</v>
      </c>
      <c r="F258" s="144">
        <v>0</v>
      </c>
      <c r="G258" s="291">
        <v>0</v>
      </c>
      <c r="H258" s="150">
        <v>0</v>
      </c>
      <c r="I258" s="567">
        <f t="shared" si="6"/>
        <v>0</v>
      </c>
    </row>
    <row r="259" spans="1:10" ht="12" thickTop="1" thickBot="1" x14ac:dyDescent="0.2">
      <c r="A259" s="138"/>
      <c r="B259" s="521"/>
      <c r="C259" s="138" t="s">
        <v>224</v>
      </c>
      <c r="D259" s="169">
        <f>SUM(D226:D258)</f>
        <v>0</v>
      </c>
      <c r="E259" s="169">
        <f>SUM(E226:E258)</f>
        <v>0</v>
      </c>
      <c r="F259" s="169">
        <f>SUM(F226:F258)</f>
        <v>0</v>
      </c>
      <c r="G259" s="169">
        <f>SUM(G226:G258)</f>
        <v>0</v>
      </c>
      <c r="H259" s="169">
        <f>SUM(H226:H258)</f>
        <v>0</v>
      </c>
      <c r="I259" s="169">
        <f t="shared" si="6"/>
        <v>0</v>
      </c>
    </row>
    <row r="260" spans="1:10" ht="11.25" thickTop="1" x14ac:dyDescent="0.15">
      <c r="A260" s="512"/>
      <c r="B260" s="512"/>
      <c r="C260" s="512"/>
      <c r="D260" s="14"/>
      <c r="E260" s="14"/>
      <c r="F260" s="14"/>
      <c r="G260" s="14"/>
      <c r="H260" s="14"/>
      <c r="I260" s="563"/>
    </row>
    <row r="261" spans="1:10" x14ac:dyDescent="0.15">
      <c r="A261" s="512" t="s">
        <v>647</v>
      </c>
      <c r="B261" s="138"/>
      <c r="C261" s="138"/>
      <c r="D261" s="14"/>
      <c r="E261" s="14"/>
      <c r="F261" s="14"/>
      <c r="G261" s="14"/>
      <c r="H261" s="14"/>
      <c r="I261" s="563"/>
    </row>
    <row r="262" spans="1:10" s="434" customFormat="1" x14ac:dyDescent="0.15">
      <c r="B262" s="523" t="s">
        <v>1577</v>
      </c>
      <c r="C262" s="524" t="s">
        <v>228</v>
      </c>
      <c r="D262" s="316">
        <v>0</v>
      </c>
      <c r="E262" s="316">
        <v>0</v>
      </c>
      <c r="F262" s="316">
        <v>0</v>
      </c>
      <c r="G262" s="528">
        <f t="array" ref="G262">SUM(IF(CertFund&amp;CertProg&amp;CertObj=RIGHT(LEFT($A$2,7),2)&amp;LEFT(A261,4)&amp;B262,CertSalary))</f>
        <v>0</v>
      </c>
      <c r="H262" s="527">
        <v>0</v>
      </c>
      <c r="I262" s="566">
        <f t="shared" ref="I262:I295" si="7">SUM(G262+H262)</f>
        <v>0</v>
      </c>
    </row>
    <row r="263" spans="1:10" s="434" customFormat="1" x14ac:dyDescent="0.15">
      <c r="B263" s="523" t="s">
        <v>1577</v>
      </c>
      <c r="C263" s="524" t="s">
        <v>510</v>
      </c>
      <c r="D263" s="316">
        <v>0</v>
      </c>
      <c r="E263" s="316">
        <v>0</v>
      </c>
      <c r="F263" s="316">
        <v>0</v>
      </c>
      <c r="G263" s="316">
        <v>0</v>
      </c>
      <c r="H263" s="527">
        <v>0</v>
      </c>
      <c r="I263" s="566">
        <f t="shared" si="7"/>
        <v>0</v>
      </c>
    </row>
    <row r="264" spans="1:10" s="434" customFormat="1" x14ac:dyDescent="0.15">
      <c r="A264" s="524"/>
      <c r="B264" s="523" t="s">
        <v>1578</v>
      </c>
      <c r="C264" s="524" t="s">
        <v>936</v>
      </c>
      <c r="D264" s="316">
        <v>0</v>
      </c>
      <c r="E264" s="316">
        <v>0</v>
      </c>
      <c r="F264" s="316">
        <v>0</v>
      </c>
      <c r="G264" s="529">
        <f t="array" ref="G264">SUM(IF(CertFund&amp;CertProg&amp;CertObj=RIGHT(LEFT($A$2,7),2)&amp;LEFT(A261,4)&amp;B262,CertBen))</f>
        <v>0</v>
      </c>
      <c r="H264" s="527">
        <v>0</v>
      </c>
      <c r="I264" s="566">
        <f t="shared" si="7"/>
        <v>0</v>
      </c>
    </row>
    <row r="265" spans="1:10" x14ac:dyDescent="0.15">
      <c r="A265" s="138"/>
      <c r="B265" s="521" t="s">
        <v>1578</v>
      </c>
      <c r="C265" s="138" t="s">
        <v>511</v>
      </c>
      <c r="D265" s="147">
        <v>0</v>
      </c>
      <c r="E265" s="147">
        <v>0</v>
      </c>
      <c r="F265" s="147">
        <v>0</v>
      </c>
      <c r="G265" s="147">
        <v>0</v>
      </c>
      <c r="H265" s="150">
        <v>0</v>
      </c>
      <c r="I265" s="567">
        <f t="shared" si="7"/>
        <v>0</v>
      </c>
      <c r="J265" s="434"/>
    </row>
    <row r="266" spans="1:10" x14ac:dyDescent="0.15">
      <c r="A266" s="138"/>
      <c r="B266" s="521" t="s">
        <v>1579</v>
      </c>
      <c r="C266" s="138" t="s">
        <v>118</v>
      </c>
      <c r="D266" s="144">
        <v>0</v>
      </c>
      <c r="E266" s="144">
        <v>0</v>
      </c>
      <c r="F266" s="144">
        <v>0</v>
      </c>
      <c r="G266" s="291">
        <v>0</v>
      </c>
      <c r="H266" s="150">
        <v>0</v>
      </c>
      <c r="I266" s="567">
        <f t="shared" si="7"/>
        <v>0</v>
      </c>
    </row>
    <row r="267" spans="1:10" x14ac:dyDescent="0.15">
      <c r="A267" s="138"/>
      <c r="B267" s="521" t="s">
        <v>1580</v>
      </c>
      <c r="C267" s="138" t="s">
        <v>119</v>
      </c>
      <c r="D267" s="144">
        <v>0</v>
      </c>
      <c r="E267" s="144">
        <v>0</v>
      </c>
      <c r="F267" s="144">
        <v>0</v>
      </c>
      <c r="G267" s="291">
        <v>0</v>
      </c>
      <c r="H267" s="150">
        <v>0</v>
      </c>
      <c r="I267" s="567">
        <f t="shared" si="7"/>
        <v>0</v>
      </c>
    </row>
    <row r="268" spans="1:10" x14ac:dyDescent="0.15">
      <c r="A268" s="138"/>
      <c r="B268" s="521" t="s">
        <v>120</v>
      </c>
      <c r="C268" s="138" t="s">
        <v>121</v>
      </c>
      <c r="D268" s="144">
        <v>0</v>
      </c>
      <c r="E268" s="144">
        <v>0</v>
      </c>
      <c r="F268" s="144">
        <v>0</v>
      </c>
      <c r="G268" s="291">
        <v>0</v>
      </c>
      <c r="H268" s="150">
        <v>0</v>
      </c>
      <c r="I268" s="567">
        <f t="shared" si="7"/>
        <v>0</v>
      </c>
    </row>
    <row r="269" spans="1:10" x14ac:dyDescent="0.15">
      <c r="A269" s="138"/>
      <c r="B269" s="521" t="s">
        <v>122</v>
      </c>
      <c r="C269" s="138" t="s">
        <v>123</v>
      </c>
      <c r="D269" s="144">
        <v>0</v>
      </c>
      <c r="E269" s="144">
        <v>0</v>
      </c>
      <c r="F269" s="144">
        <v>0</v>
      </c>
      <c r="G269" s="291">
        <v>0</v>
      </c>
      <c r="H269" s="150">
        <v>0</v>
      </c>
      <c r="I269" s="567">
        <f t="shared" si="7"/>
        <v>0</v>
      </c>
    </row>
    <row r="270" spans="1:10" x14ac:dyDescent="0.15">
      <c r="A270" s="138"/>
      <c r="B270" s="521" t="s">
        <v>1581</v>
      </c>
      <c r="C270" s="138" t="s">
        <v>124</v>
      </c>
      <c r="D270" s="144">
        <v>0</v>
      </c>
      <c r="E270" s="144">
        <v>0</v>
      </c>
      <c r="F270" s="144">
        <v>0</v>
      </c>
      <c r="G270" s="291">
        <v>0</v>
      </c>
      <c r="H270" s="150">
        <v>0</v>
      </c>
      <c r="I270" s="567">
        <f t="shared" si="7"/>
        <v>0</v>
      </c>
    </row>
    <row r="271" spans="1:10" x14ac:dyDescent="0.15">
      <c r="A271" s="138"/>
      <c r="B271" s="521" t="s">
        <v>127</v>
      </c>
      <c r="C271" s="138" t="s">
        <v>134</v>
      </c>
      <c r="D271" s="144">
        <v>0</v>
      </c>
      <c r="E271" s="144">
        <v>0</v>
      </c>
      <c r="F271" s="144">
        <v>0</v>
      </c>
      <c r="G271" s="291">
        <v>0</v>
      </c>
      <c r="H271" s="150">
        <v>0</v>
      </c>
      <c r="I271" s="567">
        <f t="shared" si="7"/>
        <v>0</v>
      </c>
    </row>
    <row r="272" spans="1:10" x14ac:dyDescent="0.15">
      <c r="A272" s="138"/>
      <c r="B272" s="521" t="s">
        <v>132</v>
      </c>
      <c r="C272" s="138" t="s">
        <v>1617</v>
      </c>
      <c r="D272" s="144">
        <v>0</v>
      </c>
      <c r="E272" s="144">
        <v>0</v>
      </c>
      <c r="F272" s="144">
        <v>0</v>
      </c>
      <c r="G272" s="291">
        <v>0</v>
      </c>
      <c r="H272" s="150">
        <v>0</v>
      </c>
      <c r="I272" s="567">
        <f t="shared" si="7"/>
        <v>0</v>
      </c>
    </row>
    <row r="273" spans="1:9" x14ac:dyDescent="0.15">
      <c r="A273" s="138"/>
      <c r="B273" s="521" t="s">
        <v>1618</v>
      </c>
      <c r="C273" s="138" t="s">
        <v>836</v>
      </c>
      <c r="D273" s="144">
        <v>0</v>
      </c>
      <c r="E273" s="144">
        <v>0</v>
      </c>
      <c r="F273" s="144">
        <v>0</v>
      </c>
      <c r="G273" s="291">
        <v>0</v>
      </c>
      <c r="H273" s="150">
        <v>0</v>
      </c>
      <c r="I273" s="567">
        <f t="shared" si="7"/>
        <v>0</v>
      </c>
    </row>
    <row r="274" spans="1:9" x14ac:dyDescent="0.15">
      <c r="A274" s="138"/>
      <c r="B274" s="521" t="s">
        <v>1619</v>
      </c>
      <c r="C274" s="138" t="s">
        <v>185</v>
      </c>
      <c r="D274" s="144">
        <v>0</v>
      </c>
      <c r="E274" s="144">
        <v>0</v>
      </c>
      <c r="F274" s="144">
        <v>0</v>
      </c>
      <c r="G274" s="291">
        <v>0</v>
      </c>
      <c r="H274" s="150">
        <v>0</v>
      </c>
      <c r="I274" s="567">
        <f t="shared" si="7"/>
        <v>0</v>
      </c>
    </row>
    <row r="275" spans="1:9" x14ac:dyDescent="0.15">
      <c r="A275" s="138"/>
      <c r="B275" s="521" t="s">
        <v>1620</v>
      </c>
      <c r="C275" s="138" t="s">
        <v>838</v>
      </c>
      <c r="D275" s="144">
        <v>0</v>
      </c>
      <c r="E275" s="144">
        <v>0</v>
      </c>
      <c r="F275" s="144">
        <v>0</v>
      </c>
      <c r="G275" s="291">
        <v>0</v>
      </c>
      <c r="H275" s="150">
        <v>0</v>
      </c>
      <c r="I275" s="567">
        <f t="shared" si="7"/>
        <v>0</v>
      </c>
    </row>
    <row r="276" spans="1:9" x14ac:dyDescent="0.15">
      <c r="A276" s="138"/>
      <c r="B276" s="521" t="s">
        <v>1621</v>
      </c>
      <c r="C276" s="138" t="s">
        <v>839</v>
      </c>
      <c r="D276" s="144">
        <v>0</v>
      </c>
      <c r="E276" s="144">
        <v>0</v>
      </c>
      <c r="F276" s="144">
        <v>0</v>
      </c>
      <c r="G276" s="291">
        <v>0</v>
      </c>
      <c r="H276" s="150">
        <v>0</v>
      </c>
      <c r="I276" s="567">
        <f t="shared" si="7"/>
        <v>0</v>
      </c>
    </row>
    <row r="277" spans="1:9" x14ac:dyDescent="0.15">
      <c r="A277" s="138"/>
      <c r="B277" s="521" t="s">
        <v>1622</v>
      </c>
      <c r="C277" s="138" t="s">
        <v>190</v>
      </c>
      <c r="D277" s="144">
        <v>0</v>
      </c>
      <c r="E277" s="144">
        <v>0</v>
      </c>
      <c r="F277" s="144">
        <v>0</v>
      </c>
      <c r="G277" s="291">
        <v>0</v>
      </c>
      <c r="H277" s="150">
        <v>0</v>
      </c>
      <c r="I277" s="567">
        <f t="shared" si="7"/>
        <v>0</v>
      </c>
    </row>
    <row r="278" spans="1:9" x14ac:dyDescent="0.15">
      <c r="A278" s="138"/>
      <c r="B278" s="521" t="s">
        <v>1623</v>
      </c>
      <c r="C278" s="138" t="s">
        <v>191</v>
      </c>
      <c r="D278" s="144">
        <v>0</v>
      </c>
      <c r="E278" s="144">
        <v>0</v>
      </c>
      <c r="F278" s="144">
        <v>0</v>
      </c>
      <c r="G278" s="291">
        <v>0</v>
      </c>
      <c r="H278" s="150">
        <v>0</v>
      </c>
      <c r="I278" s="567">
        <f t="shared" si="7"/>
        <v>0</v>
      </c>
    </row>
    <row r="279" spans="1:9" x14ac:dyDescent="0.15">
      <c r="A279" s="138"/>
      <c r="B279" s="521" t="s">
        <v>1624</v>
      </c>
      <c r="C279" s="138" t="s">
        <v>840</v>
      </c>
      <c r="D279" s="144">
        <v>0</v>
      </c>
      <c r="E279" s="144">
        <v>0</v>
      </c>
      <c r="F279" s="144">
        <v>0</v>
      </c>
      <c r="G279" s="291">
        <v>0</v>
      </c>
      <c r="H279" s="150">
        <v>0</v>
      </c>
      <c r="I279" s="567">
        <f t="shared" si="7"/>
        <v>0</v>
      </c>
    </row>
    <row r="280" spans="1:9" x14ac:dyDescent="0.15">
      <c r="A280" s="138"/>
      <c r="B280" s="521" t="s">
        <v>1625</v>
      </c>
      <c r="C280" s="138" t="s">
        <v>842</v>
      </c>
      <c r="D280" s="144">
        <v>0</v>
      </c>
      <c r="E280" s="144">
        <v>0</v>
      </c>
      <c r="F280" s="144">
        <v>0</v>
      </c>
      <c r="G280" s="291">
        <v>0</v>
      </c>
      <c r="H280" s="150">
        <v>0</v>
      </c>
      <c r="I280" s="567">
        <f t="shared" si="7"/>
        <v>0</v>
      </c>
    </row>
    <row r="281" spans="1:9" x14ac:dyDescent="0.15">
      <c r="A281" s="138"/>
      <c r="B281" s="521" t="s">
        <v>843</v>
      </c>
      <c r="C281" s="138" t="s">
        <v>848</v>
      </c>
      <c r="D281" s="144">
        <v>0</v>
      </c>
      <c r="E281" s="144">
        <v>0</v>
      </c>
      <c r="F281" s="144">
        <v>0</v>
      </c>
      <c r="G281" s="291">
        <v>0</v>
      </c>
      <c r="H281" s="150">
        <v>0</v>
      </c>
      <c r="I281" s="567">
        <f t="shared" si="7"/>
        <v>0</v>
      </c>
    </row>
    <row r="282" spans="1:9" x14ac:dyDescent="0.15">
      <c r="A282" s="138"/>
      <c r="B282" s="521" t="s">
        <v>844</v>
      </c>
      <c r="C282" s="138" t="s">
        <v>186</v>
      </c>
      <c r="D282" s="144">
        <v>0</v>
      </c>
      <c r="E282" s="144">
        <v>0</v>
      </c>
      <c r="F282" s="144">
        <v>0</v>
      </c>
      <c r="G282" s="291">
        <v>0</v>
      </c>
      <c r="H282" s="150">
        <v>0</v>
      </c>
      <c r="I282" s="567">
        <f t="shared" si="7"/>
        <v>0</v>
      </c>
    </row>
    <row r="283" spans="1:9" x14ac:dyDescent="0.15">
      <c r="A283" s="138"/>
      <c r="B283" s="521" t="s">
        <v>845</v>
      </c>
      <c r="C283" s="138" t="s">
        <v>154</v>
      </c>
      <c r="D283" s="144">
        <v>0</v>
      </c>
      <c r="E283" s="144">
        <v>0</v>
      </c>
      <c r="F283" s="144">
        <v>0</v>
      </c>
      <c r="G283" s="291">
        <v>0</v>
      </c>
      <c r="H283" s="150">
        <v>0</v>
      </c>
      <c r="I283" s="567">
        <f t="shared" si="7"/>
        <v>0</v>
      </c>
    </row>
    <row r="284" spans="1:9" x14ac:dyDescent="0.15">
      <c r="A284" s="138"/>
      <c r="B284" s="521" t="s">
        <v>846</v>
      </c>
      <c r="C284" s="138" t="s">
        <v>155</v>
      </c>
      <c r="D284" s="144">
        <v>0</v>
      </c>
      <c r="E284" s="144">
        <v>0</v>
      </c>
      <c r="F284" s="144">
        <v>0</v>
      </c>
      <c r="G284" s="291">
        <v>0</v>
      </c>
      <c r="H284" s="150">
        <v>0</v>
      </c>
      <c r="I284" s="567">
        <f t="shared" si="7"/>
        <v>0</v>
      </c>
    </row>
    <row r="285" spans="1:9" x14ac:dyDescent="0.15">
      <c r="A285" s="138"/>
      <c r="B285" s="521" t="s">
        <v>1582</v>
      </c>
      <c r="C285" s="138" t="s">
        <v>156</v>
      </c>
      <c r="D285" s="144">
        <v>0</v>
      </c>
      <c r="E285" s="144">
        <v>0</v>
      </c>
      <c r="F285" s="144">
        <v>0</v>
      </c>
      <c r="G285" s="291">
        <v>0</v>
      </c>
      <c r="H285" s="150">
        <v>0</v>
      </c>
      <c r="I285" s="567">
        <f t="shared" si="7"/>
        <v>0</v>
      </c>
    </row>
    <row r="286" spans="1:9" x14ac:dyDescent="0.15">
      <c r="A286" s="138"/>
      <c r="B286" s="521" t="s">
        <v>847</v>
      </c>
      <c r="C286" s="138" t="s">
        <v>157</v>
      </c>
      <c r="D286" s="144">
        <v>0</v>
      </c>
      <c r="E286" s="144">
        <v>0</v>
      </c>
      <c r="F286" s="144">
        <v>0</v>
      </c>
      <c r="G286" s="291">
        <v>0</v>
      </c>
      <c r="H286" s="150">
        <v>0</v>
      </c>
      <c r="I286" s="567">
        <f t="shared" si="7"/>
        <v>0</v>
      </c>
    </row>
    <row r="287" spans="1:9" x14ac:dyDescent="0.15">
      <c r="A287" s="138"/>
      <c r="B287" s="521" t="s">
        <v>1583</v>
      </c>
      <c r="C287" s="138" t="s">
        <v>160</v>
      </c>
      <c r="D287" s="144">
        <v>0</v>
      </c>
      <c r="E287" s="144">
        <v>0</v>
      </c>
      <c r="F287" s="144">
        <v>0</v>
      </c>
      <c r="G287" s="291">
        <v>0</v>
      </c>
      <c r="H287" s="150">
        <v>0</v>
      </c>
      <c r="I287" s="567">
        <f t="shared" si="7"/>
        <v>0</v>
      </c>
    </row>
    <row r="288" spans="1:9" x14ac:dyDescent="0.15">
      <c r="A288" s="138"/>
      <c r="B288" s="521" t="s">
        <v>634</v>
      </c>
      <c r="C288" s="138" t="s">
        <v>165</v>
      </c>
      <c r="D288" s="144">
        <v>0</v>
      </c>
      <c r="E288" s="144">
        <v>0</v>
      </c>
      <c r="F288" s="144">
        <v>0</v>
      </c>
      <c r="G288" s="291">
        <v>0</v>
      </c>
      <c r="H288" s="150">
        <v>0</v>
      </c>
      <c r="I288" s="567">
        <f t="shared" si="7"/>
        <v>0</v>
      </c>
    </row>
    <row r="289" spans="1:10" x14ac:dyDescent="0.15">
      <c r="A289" s="138"/>
      <c r="B289" s="521" t="s">
        <v>630</v>
      </c>
      <c r="C289" s="138" t="s">
        <v>172</v>
      </c>
      <c r="D289" s="144">
        <v>0</v>
      </c>
      <c r="E289" s="144">
        <v>0</v>
      </c>
      <c r="F289" s="144">
        <v>0</v>
      </c>
      <c r="G289" s="291">
        <v>0</v>
      </c>
      <c r="H289" s="150">
        <v>0</v>
      </c>
      <c r="I289" s="567">
        <f t="shared" si="7"/>
        <v>0</v>
      </c>
    </row>
    <row r="290" spans="1:10" x14ac:dyDescent="0.15">
      <c r="A290" s="138"/>
      <c r="B290" s="650" t="s">
        <v>631</v>
      </c>
      <c r="C290" s="651" t="s">
        <v>173</v>
      </c>
      <c r="D290" s="144">
        <v>0</v>
      </c>
      <c r="E290" s="144">
        <v>0</v>
      </c>
      <c r="F290" s="144">
        <v>0</v>
      </c>
      <c r="G290" s="291">
        <v>0</v>
      </c>
      <c r="H290" s="150">
        <v>0</v>
      </c>
      <c r="I290" s="567">
        <f t="shared" si="7"/>
        <v>0</v>
      </c>
    </row>
    <row r="291" spans="1:10" x14ac:dyDescent="0.15">
      <c r="A291" s="138"/>
      <c r="B291" s="521" t="s">
        <v>1584</v>
      </c>
      <c r="C291" s="138" t="s">
        <v>178</v>
      </c>
      <c r="D291" s="144">
        <v>0</v>
      </c>
      <c r="E291" s="144">
        <v>0</v>
      </c>
      <c r="F291" s="144">
        <v>0</v>
      </c>
      <c r="G291" s="291">
        <v>0</v>
      </c>
      <c r="H291" s="150">
        <v>0</v>
      </c>
      <c r="I291" s="567">
        <f t="shared" si="7"/>
        <v>0</v>
      </c>
    </row>
    <row r="292" spans="1:10" x14ac:dyDescent="0.15">
      <c r="A292" s="138"/>
      <c r="B292" s="521" t="s">
        <v>174</v>
      </c>
      <c r="C292" s="138" t="s">
        <v>179</v>
      </c>
      <c r="D292" s="144">
        <v>0</v>
      </c>
      <c r="E292" s="144">
        <v>0</v>
      </c>
      <c r="F292" s="144">
        <v>0</v>
      </c>
      <c r="G292" s="291">
        <v>0</v>
      </c>
      <c r="H292" s="150">
        <v>0</v>
      </c>
      <c r="I292" s="567">
        <f t="shared" si="7"/>
        <v>0</v>
      </c>
    </row>
    <row r="293" spans="1:10" x14ac:dyDescent="0.15">
      <c r="A293" s="138"/>
      <c r="B293" s="521" t="s">
        <v>175</v>
      </c>
      <c r="C293" s="138" t="s">
        <v>180</v>
      </c>
      <c r="D293" s="144">
        <v>0</v>
      </c>
      <c r="E293" s="144">
        <v>0</v>
      </c>
      <c r="F293" s="144">
        <v>0</v>
      </c>
      <c r="G293" s="291">
        <v>0</v>
      </c>
      <c r="H293" s="150">
        <v>0</v>
      </c>
      <c r="I293" s="567">
        <f t="shared" si="7"/>
        <v>0</v>
      </c>
    </row>
    <row r="294" spans="1:10" ht="11.25" thickBot="1" x14ac:dyDescent="0.2">
      <c r="A294" s="138"/>
      <c r="B294" s="521" t="s">
        <v>176</v>
      </c>
      <c r="C294" s="138" t="s">
        <v>181</v>
      </c>
      <c r="D294" s="144">
        <v>0</v>
      </c>
      <c r="E294" s="144">
        <v>0</v>
      </c>
      <c r="F294" s="144">
        <v>0</v>
      </c>
      <c r="G294" s="291">
        <v>0</v>
      </c>
      <c r="H294" s="150">
        <v>0</v>
      </c>
      <c r="I294" s="567">
        <f t="shared" si="7"/>
        <v>0</v>
      </c>
    </row>
    <row r="295" spans="1:10" ht="12" thickTop="1" thickBot="1" x14ac:dyDescent="0.2">
      <c r="A295" s="138"/>
      <c r="B295" s="521"/>
      <c r="C295" s="138" t="s">
        <v>226</v>
      </c>
      <c r="D295" s="169">
        <f>SUM(D262:D294)</f>
        <v>0</v>
      </c>
      <c r="E295" s="169">
        <f>SUM(E262:E294)</f>
        <v>0</v>
      </c>
      <c r="F295" s="169">
        <f>SUM(F262:F294)</f>
        <v>0</v>
      </c>
      <c r="G295" s="169">
        <f>SUM(G262:G294)</f>
        <v>0</v>
      </c>
      <c r="H295" s="169">
        <f>SUM(H262:H294)</f>
        <v>0</v>
      </c>
      <c r="I295" s="169">
        <f t="shared" si="7"/>
        <v>0</v>
      </c>
    </row>
    <row r="296" spans="1:10" ht="11.25" thickTop="1" x14ac:dyDescent="0.15">
      <c r="A296" s="138"/>
      <c r="B296" s="138"/>
      <c r="C296" s="138"/>
      <c r="D296" s="14"/>
      <c r="E296" s="14"/>
      <c r="F296" s="14"/>
      <c r="G296" s="14"/>
      <c r="H296" s="14"/>
      <c r="I296" s="563"/>
    </row>
    <row r="297" spans="1:10" x14ac:dyDescent="0.15">
      <c r="A297" s="512" t="s">
        <v>225</v>
      </c>
      <c r="B297" s="138"/>
      <c r="C297" s="138"/>
      <c r="D297" s="14"/>
      <c r="E297" s="14"/>
      <c r="F297" s="14"/>
      <c r="G297" s="14"/>
      <c r="H297" s="14"/>
      <c r="I297" s="563"/>
    </row>
    <row r="298" spans="1:10" s="434" customFormat="1" x14ac:dyDescent="0.15">
      <c r="B298" s="523" t="s">
        <v>1577</v>
      </c>
      <c r="C298" s="524" t="s">
        <v>228</v>
      </c>
      <c r="D298" s="316">
        <v>0</v>
      </c>
      <c r="E298" s="316">
        <v>0</v>
      </c>
      <c r="F298" s="316">
        <v>0</v>
      </c>
      <c r="G298" s="528">
        <f t="array" ref="G298">SUM(IF(CertFund&amp;CertProg&amp;CertObj=RIGHT(LEFT($A$2,7),2)&amp;LEFT(A297,4)&amp;B298,CertSalary))</f>
        <v>0</v>
      </c>
      <c r="H298" s="527">
        <v>0</v>
      </c>
      <c r="I298" s="566">
        <f t="shared" ref="I298:I331" si="8">SUM(G298+H298)</f>
        <v>0</v>
      </c>
    </row>
    <row r="299" spans="1:10" s="434" customFormat="1" x14ac:dyDescent="0.15">
      <c r="B299" s="523" t="s">
        <v>1577</v>
      </c>
      <c r="C299" s="524" t="s">
        <v>510</v>
      </c>
      <c r="D299" s="316">
        <v>0</v>
      </c>
      <c r="E299" s="316">
        <v>0</v>
      </c>
      <c r="F299" s="316">
        <v>0</v>
      </c>
      <c r="G299" s="316">
        <v>0</v>
      </c>
      <c r="H299" s="527">
        <v>0</v>
      </c>
      <c r="I299" s="566">
        <f t="shared" si="8"/>
        <v>0</v>
      </c>
    </row>
    <row r="300" spans="1:10" s="434" customFormat="1" x14ac:dyDescent="0.15">
      <c r="A300" s="524"/>
      <c r="B300" s="523" t="s">
        <v>1578</v>
      </c>
      <c r="C300" s="524" t="s">
        <v>936</v>
      </c>
      <c r="D300" s="316">
        <v>0</v>
      </c>
      <c r="E300" s="316">
        <v>0</v>
      </c>
      <c r="F300" s="316">
        <v>0</v>
      </c>
      <c r="G300" s="529">
        <f t="array" ref="G300">SUM(IF(CertFund&amp;CertProg&amp;CertObj=RIGHT(LEFT($A$2,7),2)&amp;LEFT(A297,4)&amp;B298,CertBen))</f>
        <v>0</v>
      </c>
      <c r="H300" s="527">
        <v>0</v>
      </c>
      <c r="I300" s="566">
        <f t="shared" si="8"/>
        <v>0</v>
      </c>
    </row>
    <row r="301" spans="1:10" x14ac:dyDescent="0.15">
      <c r="A301" s="138"/>
      <c r="B301" s="521" t="s">
        <v>1578</v>
      </c>
      <c r="C301" s="138" t="s">
        <v>511</v>
      </c>
      <c r="D301" s="147">
        <v>0</v>
      </c>
      <c r="E301" s="147">
        <v>0</v>
      </c>
      <c r="F301" s="147">
        <v>0</v>
      </c>
      <c r="G301" s="147">
        <v>0</v>
      </c>
      <c r="H301" s="150">
        <v>0</v>
      </c>
      <c r="I301" s="567">
        <f t="shared" si="8"/>
        <v>0</v>
      </c>
      <c r="J301" s="434"/>
    </row>
    <row r="302" spans="1:10" x14ac:dyDescent="0.15">
      <c r="A302" s="138"/>
      <c r="B302" s="521" t="s">
        <v>1579</v>
      </c>
      <c r="C302" s="138" t="s">
        <v>118</v>
      </c>
      <c r="D302" s="144">
        <v>0</v>
      </c>
      <c r="E302" s="144">
        <v>0</v>
      </c>
      <c r="F302" s="144">
        <v>0</v>
      </c>
      <c r="G302" s="291">
        <v>0</v>
      </c>
      <c r="H302" s="150">
        <v>0</v>
      </c>
      <c r="I302" s="567">
        <f t="shared" si="8"/>
        <v>0</v>
      </c>
    </row>
    <row r="303" spans="1:10" x14ac:dyDescent="0.15">
      <c r="A303" s="138"/>
      <c r="B303" s="521" t="s">
        <v>1580</v>
      </c>
      <c r="C303" s="138" t="s">
        <v>119</v>
      </c>
      <c r="D303" s="144">
        <v>0</v>
      </c>
      <c r="E303" s="144">
        <v>0</v>
      </c>
      <c r="F303" s="144">
        <v>0</v>
      </c>
      <c r="G303" s="291">
        <v>0</v>
      </c>
      <c r="H303" s="150">
        <v>0</v>
      </c>
      <c r="I303" s="567">
        <f t="shared" si="8"/>
        <v>0</v>
      </c>
    </row>
    <row r="304" spans="1:10" x14ac:dyDescent="0.15">
      <c r="A304" s="138"/>
      <c r="B304" s="521" t="s">
        <v>120</v>
      </c>
      <c r="C304" s="138" t="s">
        <v>121</v>
      </c>
      <c r="D304" s="144">
        <v>0</v>
      </c>
      <c r="E304" s="144">
        <v>0</v>
      </c>
      <c r="F304" s="144">
        <v>0</v>
      </c>
      <c r="G304" s="291">
        <v>0</v>
      </c>
      <c r="H304" s="150">
        <v>0</v>
      </c>
      <c r="I304" s="567">
        <f t="shared" si="8"/>
        <v>0</v>
      </c>
    </row>
    <row r="305" spans="1:9" x14ac:dyDescent="0.15">
      <c r="A305" s="138"/>
      <c r="B305" s="521" t="s">
        <v>122</v>
      </c>
      <c r="C305" s="138" t="s">
        <v>123</v>
      </c>
      <c r="D305" s="144">
        <v>0</v>
      </c>
      <c r="E305" s="144">
        <v>0</v>
      </c>
      <c r="F305" s="144">
        <v>0</v>
      </c>
      <c r="G305" s="291">
        <v>0</v>
      </c>
      <c r="H305" s="150">
        <v>0</v>
      </c>
      <c r="I305" s="567">
        <f t="shared" si="8"/>
        <v>0</v>
      </c>
    </row>
    <row r="306" spans="1:9" x14ac:dyDescent="0.15">
      <c r="A306" s="138"/>
      <c r="B306" s="521" t="s">
        <v>1581</v>
      </c>
      <c r="C306" s="138" t="s">
        <v>124</v>
      </c>
      <c r="D306" s="144">
        <v>0</v>
      </c>
      <c r="E306" s="144">
        <v>0</v>
      </c>
      <c r="F306" s="144">
        <v>0</v>
      </c>
      <c r="G306" s="291">
        <v>0</v>
      </c>
      <c r="H306" s="150">
        <v>0</v>
      </c>
      <c r="I306" s="567">
        <f t="shared" si="8"/>
        <v>0</v>
      </c>
    </row>
    <row r="307" spans="1:9" x14ac:dyDescent="0.15">
      <c r="A307" s="138"/>
      <c r="B307" s="521" t="s">
        <v>127</v>
      </c>
      <c r="C307" s="138" t="s">
        <v>134</v>
      </c>
      <c r="D307" s="144">
        <v>0</v>
      </c>
      <c r="E307" s="144">
        <v>0</v>
      </c>
      <c r="F307" s="144">
        <v>0</v>
      </c>
      <c r="G307" s="291">
        <v>0</v>
      </c>
      <c r="H307" s="150">
        <v>0</v>
      </c>
      <c r="I307" s="567">
        <f t="shared" si="8"/>
        <v>0</v>
      </c>
    </row>
    <row r="308" spans="1:9" x14ac:dyDescent="0.15">
      <c r="A308" s="138"/>
      <c r="B308" s="521" t="s">
        <v>132</v>
      </c>
      <c r="C308" s="138" t="s">
        <v>1617</v>
      </c>
      <c r="D308" s="144">
        <v>0</v>
      </c>
      <c r="E308" s="144">
        <v>0</v>
      </c>
      <c r="F308" s="144">
        <v>0</v>
      </c>
      <c r="G308" s="291">
        <v>0</v>
      </c>
      <c r="H308" s="150">
        <v>0</v>
      </c>
      <c r="I308" s="567">
        <f t="shared" si="8"/>
        <v>0</v>
      </c>
    </row>
    <row r="309" spans="1:9" x14ac:dyDescent="0.15">
      <c r="A309" s="138"/>
      <c r="B309" s="521" t="s">
        <v>1618</v>
      </c>
      <c r="C309" s="138" t="s">
        <v>836</v>
      </c>
      <c r="D309" s="144">
        <v>0</v>
      </c>
      <c r="E309" s="144">
        <v>0</v>
      </c>
      <c r="F309" s="144">
        <v>0</v>
      </c>
      <c r="G309" s="291">
        <v>0</v>
      </c>
      <c r="H309" s="150">
        <v>0</v>
      </c>
      <c r="I309" s="567">
        <f t="shared" si="8"/>
        <v>0</v>
      </c>
    </row>
    <row r="310" spans="1:9" x14ac:dyDescent="0.15">
      <c r="A310" s="138"/>
      <c r="B310" s="521" t="s">
        <v>1619</v>
      </c>
      <c r="C310" s="138" t="s">
        <v>185</v>
      </c>
      <c r="D310" s="144">
        <v>0</v>
      </c>
      <c r="E310" s="144">
        <v>0</v>
      </c>
      <c r="F310" s="144">
        <v>0</v>
      </c>
      <c r="G310" s="291">
        <v>0</v>
      </c>
      <c r="H310" s="150">
        <v>0</v>
      </c>
      <c r="I310" s="567">
        <f t="shared" si="8"/>
        <v>0</v>
      </c>
    </row>
    <row r="311" spans="1:9" x14ac:dyDescent="0.15">
      <c r="A311" s="138"/>
      <c r="B311" s="521" t="s">
        <v>1620</v>
      </c>
      <c r="C311" s="138" t="s">
        <v>838</v>
      </c>
      <c r="D311" s="144">
        <v>0</v>
      </c>
      <c r="E311" s="144">
        <v>0</v>
      </c>
      <c r="F311" s="144">
        <v>0</v>
      </c>
      <c r="G311" s="291">
        <v>0</v>
      </c>
      <c r="H311" s="150">
        <v>0</v>
      </c>
      <c r="I311" s="567">
        <f t="shared" si="8"/>
        <v>0</v>
      </c>
    </row>
    <row r="312" spans="1:9" x14ac:dyDescent="0.15">
      <c r="A312" s="138"/>
      <c r="B312" s="521" t="s">
        <v>1621</v>
      </c>
      <c r="C312" s="138" t="s">
        <v>839</v>
      </c>
      <c r="D312" s="144">
        <v>0</v>
      </c>
      <c r="E312" s="144">
        <v>0</v>
      </c>
      <c r="F312" s="144">
        <v>0</v>
      </c>
      <c r="G312" s="291">
        <v>0</v>
      </c>
      <c r="H312" s="150">
        <v>0</v>
      </c>
      <c r="I312" s="567">
        <f t="shared" si="8"/>
        <v>0</v>
      </c>
    </row>
    <row r="313" spans="1:9" x14ac:dyDescent="0.15">
      <c r="A313" s="138"/>
      <c r="B313" s="521" t="s">
        <v>1622</v>
      </c>
      <c r="C313" s="138" t="s">
        <v>190</v>
      </c>
      <c r="D313" s="144">
        <v>0</v>
      </c>
      <c r="E313" s="144">
        <v>0</v>
      </c>
      <c r="F313" s="144">
        <v>0</v>
      </c>
      <c r="G313" s="291">
        <v>0</v>
      </c>
      <c r="H313" s="150">
        <v>0</v>
      </c>
      <c r="I313" s="567">
        <f t="shared" si="8"/>
        <v>0</v>
      </c>
    </row>
    <row r="314" spans="1:9" x14ac:dyDescent="0.15">
      <c r="A314" s="138"/>
      <c r="B314" s="521" t="s">
        <v>1623</v>
      </c>
      <c r="C314" s="138" t="s">
        <v>191</v>
      </c>
      <c r="D314" s="144">
        <v>0</v>
      </c>
      <c r="E314" s="144">
        <v>0</v>
      </c>
      <c r="F314" s="144">
        <v>0</v>
      </c>
      <c r="G314" s="291">
        <v>0</v>
      </c>
      <c r="H314" s="150">
        <v>0</v>
      </c>
      <c r="I314" s="567">
        <f t="shared" si="8"/>
        <v>0</v>
      </c>
    </row>
    <row r="315" spans="1:9" x14ac:dyDescent="0.15">
      <c r="A315" s="138"/>
      <c r="B315" s="521" t="s">
        <v>1624</v>
      </c>
      <c r="C315" s="138" t="s">
        <v>840</v>
      </c>
      <c r="D315" s="144">
        <v>0</v>
      </c>
      <c r="E315" s="144">
        <v>0</v>
      </c>
      <c r="F315" s="144">
        <v>0</v>
      </c>
      <c r="G315" s="291">
        <v>0</v>
      </c>
      <c r="H315" s="150">
        <v>0</v>
      </c>
      <c r="I315" s="567">
        <f t="shared" si="8"/>
        <v>0</v>
      </c>
    </row>
    <row r="316" spans="1:9" x14ac:dyDescent="0.15">
      <c r="A316" s="138"/>
      <c r="B316" s="521" t="s">
        <v>1625</v>
      </c>
      <c r="C316" s="138" t="s">
        <v>842</v>
      </c>
      <c r="D316" s="144">
        <v>0</v>
      </c>
      <c r="E316" s="144">
        <v>0</v>
      </c>
      <c r="F316" s="144">
        <v>0</v>
      </c>
      <c r="G316" s="291">
        <v>0</v>
      </c>
      <c r="H316" s="150">
        <v>0</v>
      </c>
      <c r="I316" s="567">
        <f t="shared" si="8"/>
        <v>0</v>
      </c>
    </row>
    <row r="317" spans="1:9" x14ac:dyDescent="0.15">
      <c r="A317" s="138"/>
      <c r="B317" s="521" t="s">
        <v>843</v>
      </c>
      <c r="C317" s="138" t="s">
        <v>848</v>
      </c>
      <c r="D317" s="144">
        <v>0</v>
      </c>
      <c r="E317" s="144">
        <v>0</v>
      </c>
      <c r="F317" s="144">
        <v>0</v>
      </c>
      <c r="G317" s="291">
        <v>0</v>
      </c>
      <c r="H317" s="150">
        <v>0</v>
      </c>
      <c r="I317" s="567">
        <f t="shared" si="8"/>
        <v>0</v>
      </c>
    </row>
    <row r="318" spans="1:9" x14ac:dyDescent="0.15">
      <c r="A318" s="138"/>
      <c r="B318" s="521" t="s">
        <v>844</v>
      </c>
      <c r="C318" s="138" t="s">
        <v>186</v>
      </c>
      <c r="D318" s="144">
        <v>0</v>
      </c>
      <c r="E318" s="144">
        <v>0</v>
      </c>
      <c r="F318" s="144">
        <v>0</v>
      </c>
      <c r="G318" s="291">
        <v>0</v>
      </c>
      <c r="H318" s="150">
        <v>0</v>
      </c>
      <c r="I318" s="567">
        <f t="shared" si="8"/>
        <v>0</v>
      </c>
    </row>
    <row r="319" spans="1:9" x14ac:dyDescent="0.15">
      <c r="A319" s="138"/>
      <c r="B319" s="521" t="s">
        <v>845</v>
      </c>
      <c r="C319" s="138" t="s">
        <v>154</v>
      </c>
      <c r="D319" s="144">
        <v>0</v>
      </c>
      <c r="E319" s="144">
        <v>0</v>
      </c>
      <c r="F319" s="144">
        <v>0</v>
      </c>
      <c r="G319" s="291">
        <v>0</v>
      </c>
      <c r="H319" s="150">
        <v>0</v>
      </c>
      <c r="I319" s="567">
        <f t="shared" si="8"/>
        <v>0</v>
      </c>
    </row>
    <row r="320" spans="1:9" x14ac:dyDescent="0.15">
      <c r="A320" s="138"/>
      <c r="B320" s="521" t="s">
        <v>846</v>
      </c>
      <c r="C320" s="138" t="s">
        <v>155</v>
      </c>
      <c r="D320" s="144">
        <v>0</v>
      </c>
      <c r="E320" s="144">
        <v>0</v>
      </c>
      <c r="F320" s="144">
        <v>0</v>
      </c>
      <c r="G320" s="291">
        <v>0</v>
      </c>
      <c r="H320" s="150">
        <v>0</v>
      </c>
      <c r="I320" s="567">
        <f t="shared" si="8"/>
        <v>0</v>
      </c>
    </row>
    <row r="321" spans="1:9" x14ac:dyDescent="0.15">
      <c r="A321" s="138"/>
      <c r="B321" s="521" t="s">
        <v>1582</v>
      </c>
      <c r="C321" s="138" t="s">
        <v>156</v>
      </c>
      <c r="D321" s="144">
        <v>0</v>
      </c>
      <c r="E321" s="144">
        <v>0</v>
      </c>
      <c r="F321" s="144">
        <v>0</v>
      </c>
      <c r="G321" s="291">
        <v>0</v>
      </c>
      <c r="H321" s="150">
        <v>0</v>
      </c>
      <c r="I321" s="567">
        <f t="shared" si="8"/>
        <v>0</v>
      </c>
    </row>
    <row r="322" spans="1:9" x14ac:dyDescent="0.15">
      <c r="A322" s="138"/>
      <c r="B322" s="521" t="s">
        <v>847</v>
      </c>
      <c r="C322" s="138" t="s">
        <v>157</v>
      </c>
      <c r="D322" s="144">
        <v>0</v>
      </c>
      <c r="E322" s="144">
        <v>0</v>
      </c>
      <c r="F322" s="144">
        <v>0</v>
      </c>
      <c r="G322" s="291">
        <v>0</v>
      </c>
      <c r="H322" s="150">
        <v>0</v>
      </c>
      <c r="I322" s="567">
        <f t="shared" si="8"/>
        <v>0</v>
      </c>
    </row>
    <row r="323" spans="1:9" x14ac:dyDescent="0.15">
      <c r="A323" s="138"/>
      <c r="B323" s="521" t="s">
        <v>1583</v>
      </c>
      <c r="C323" s="138" t="s">
        <v>160</v>
      </c>
      <c r="D323" s="144">
        <v>0</v>
      </c>
      <c r="E323" s="144">
        <v>0</v>
      </c>
      <c r="F323" s="144">
        <v>0</v>
      </c>
      <c r="G323" s="291">
        <v>0</v>
      </c>
      <c r="H323" s="150">
        <v>0</v>
      </c>
      <c r="I323" s="567">
        <f t="shared" si="8"/>
        <v>0</v>
      </c>
    </row>
    <row r="324" spans="1:9" x14ac:dyDescent="0.15">
      <c r="A324" s="138"/>
      <c r="B324" s="521" t="s">
        <v>634</v>
      </c>
      <c r="C324" s="138" t="s">
        <v>165</v>
      </c>
      <c r="D324" s="144">
        <v>0</v>
      </c>
      <c r="E324" s="144">
        <v>0</v>
      </c>
      <c r="F324" s="144">
        <v>0</v>
      </c>
      <c r="G324" s="291">
        <v>0</v>
      </c>
      <c r="H324" s="150">
        <v>0</v>
      </c>
      <c r="I324" s="567">
        <f t="shared" si="8"/>
        <v>0</v>
      </c>
    </row>
    <row r="325" spans="1:9" x14ac:dyDescent="0.15">
      <c r="A325" s="138"/>
      <c r="B325" s="521" t="s">
        <v>630</v>
      </c>
      <c r="C325" s="138" t="s">
        <v>172</v>
      </c>
      <c r="D325" s="144">
        <v>0</v>
      </c>
      <c r="E325" s="144">
        <v>0</v>
      </c>
      <c r="F325" s="144">
        <v>0</v>
      </c>
      <c r="G325" s="291">
        <v>0</v>
      </c>
      <c r="H325" s="150">
        <v>0</v>
      </c>
      <c r="I325" s="567">
        <f t="shared" si="8"/>
        <v>0</v>
      </c>
    </row>
    <row r="326" spans="1:9" x14ac:dyDescent="0.15">
      <c r="A326" s="138"/>
      <c r="B326" s="650" t="s">
        <v>631</v>
      </c>
      <c r="C326" s="651" t="s">
        <v>173</v>
      </c>
      <c r="D326" s="144">
        <v>0</v>
      </c>
      <c r="E326" s="144">
        <v>0</v>
      </c>
      <c r="F326" s="144">
        <v>0</v>
      </c>
      <c r="G326" s="291">
        <v>0</v>
      </c>
      <c r="H326" s="150">
        <v>0</v>
      </c>
      <c r="I326" s="567">
        <f t="shared" si="8"/>
        <v>0</v>
      </c>
    </row>
    <row r="327" spans="1:9" x14ac:dyDescent="0.15">
      <c r="A327" s="138"/>
      <c r="B327" s="521" t="s">
        <v>1584</v>
      </c>
      <c r="C327" s="138" t="s">
        <v>178</v>
      </c>
      <c r="D327" s="144">
        <v>0</v>
      </c>
      <c r="E327" s="144">
        <v>0</v>
      </c>
      <c r="F327" s="144">
        <v>0</v>
      </c>
      <c r="G327" s="291">
        <v>0</v>
      </c>
      <c r="H327" s="150">
        <v>0</v>
      </c>
      <c r="I327" s="567">
        <f t="shared" si="8"/>
        <v>0</v>
      </c>
    </row>
    <row r="328" spans="1:9" x14ac:dyDescent="0.15">
      <c r="A328" s="138"/>
      <c r="B328" s="521" t="s">
        <v>174</v>
      </c>
      <c r="C328" s="138" t="s">
        <v>179</v>
      </c>
      <c r="D328" s="144">
        <v>0</v>
      </c>
      <c r="E328" s="144">
        <v>0</v>
      </c>
      <c r="F328" s="144">
        <v>0</v>
      </c>
      <c r="G328" s="291">
        <v>0</v>
      </c>
      <c r="H328" s="150">
        <v>0</v>
      </c>
      <c r="I328" s="567">
        <f t="shared" si="8"/>
        <v>0</v>
      </c>
    </row>
    <row r="329" spans="1:9" x14ac:dyDescent="0.15">
      <c r="A329" s="138"/>
      <c r="B329" s="521" t="s">
        <v>175</v>
      </c>
      <c r="C329" s="138" t="s">
        <v>180</v>
      </c>
      <c r="D329" s="144">
        <v>0</v>
      </c>
      <c r="E329" s="144">
        <v>0</v>
      </c>
      <c r="F329" s="144">
        <v>0</v>
      </c>
      <c r="G329" s="291">
        <v>0</v>
      </c>
      <c r="H329" s="150">
        <v>0</v>
      </c>
      <c r="I329" s="567">
        <f t="shared" si="8"/>
        <v>0</v>
      </c>
    </row>
    <row r="330" spans="1:9" ht="11.25" thickBot="1" x14ac:dyDescent="0.2">
      <c r="A330" s="138"/>
      <c r="B330" s="521" t="s">
        <v>176</v>
      </c>
      <c r="C330" s="138" t="s">
        <v>181</v>
      </c>
      <c r="D330" s="144">
        <v>0</v>
      </c>
      <c r="E330" s="144">
        <v>0</v>
      </c>
      <c r="F330" s="144">
        <v>0</v>
      </c>
      <c r="G330" s="291">
        <v>0</v>
      </c>
      <c r="H330" s="150">
        <v>0</v>
      </c>
      <c r="I330" s="567">
        <f t="shared" si="8"/>
        <v>0</v>
      </c>
    </row>
    <row r="331" spans="1:9" ht="12" thickTop="1" thickBot="1" x14ac:dyDescent="0.2">
      <c r="A331" s="138"/>
      <c r="B331" s="521"/>
      <c r="C331" s="138" t="s">
        <v>227</v>
      </c>
      <c r="D331" s="169">
        <f>SUM(D298:D330)</f>
        <v>0</v>
      </c>
      <c r="E331" s="169">
        <f>SUM(E298:E330)</f>
        <v>0</v>
      </c>
      <c r="F331" s="169">
        <f>SUM(F298:F330)</f>
        <v>0</v>
      </c>
      <c r="G331" s="169">
        <f>SUM(G298:G330)</f>
        <v>0</v>
      </c>
      <c r="H331" s="169">
        <f>SUM(H298:H330)</f>
        <v>0</v>
      </c>
      <c r="I331" s="169">
        <f t="shared" si="8"/>
        <v>0</v>
      </c>
    </row>
    <row r="332" spans="1:9" ht="11.25" thickTop="1" x14ac:dyDescent="0.15">
      <c r="A332" s="138"/>
      <c r="B332" s="138"/>
      <c r="C332" s="138"/>
      <c r="D332" s="14"/>
      <c r="E332" s="14"/>
      <c r="F332" s="14"/>
      <c r="G332" s="14"/>
      <c r="H332" s="14"/>
      <c r="I332" s="563"/>
    </row>
    <row r="333" spans="1:9" x14ac:dyDescent="0.15">
      <c r="A333" s="512" t="s">
        <v>235</v>
      </c>
      <c r="B333" s="138"/>
      <c r="C333" s="138"/>
      <c r="D333" s="14"/>
      <c r="E333" s="14"/>
      <c r="F333" s="14"/>
      <c r="G333" s="14"/>
      <c r="H333" s="14"/>
      <c r="I333" s="563"/>
    </row>
    <row r="334" spans="1:9" s="434" customFormat="1" x14ac:dyDescent="0.15">
      <c r="B334" s="523" t="s">
        <v>1577</v>
      </c>
      <c r="C334" s="524" t="s">
        <v>228</v>
      </c>
      <c r="D334" s="316">
        <v>0</v>
      </c>
      <c r="E334" s="316">
        <v>0</v>
      </c>
      <c r="F334" s="316">
        <v>0</v>
      </c>
      <c r="G334" s="528">
        <f t="array" ref="G334">SUM(IF(CertFund&amp;CertProg&amp;CertObj=RIGHT(LEFT($A$2,7),2)&amp;LEFT(A333,4)&amp;B334,CertSalary))</f>
        <v>0</v>
      </c>
      <c r="H334" s="527">
        <v>0</v>
      </c>
      <c r="I334" s="566">
        <f t="shared" ref="I334:I367" si="9">SUM(G334+H334)</f>
        <v>0</v>
      </c>
    </row>
    <row r="335" spans="1:9" s="434" customFormat="1" x14ac:dyDescent="0.15">
      <c r="B335" s="523" t="s">
        <v>1577</v>
      </c>
      <c r="C335" s="524" t="s">
        <v>510</v>
      </c>
      <c r="D335" s="316">
        <v>0</v>
      </c>
      <c r="E335" s="316">
        <v>0</v>
      </c>
      <c r="F335" s="316">
        <v>0</v>
      </c>
      <c r="G335" s="316">
        <v>0</v>
      </c>
      <c r="H335" s="527">
        <v>0</v>
      </c>
      <c r="I335" s="566">
        <f t="shared" si="9"/>
        <v>0</v>
      </c>
    </row>
    <row r="336" spans="1:9" s="434" customFormat="1" x14ac:dyDescent="0.15">
      <c r="A336" s="524"/>
      <c r="B336" s="523" t="s">
        <v>1578</v>
      </c>
      <c r="C336" s="524" t="s">
        <v>936</v>
      </c>
      <c r="D336" s="316">
        <v>0</v>
      </c>
      <c r="E336" s="316">
        <v>0</v>
      </c>
      <c r="F336" s="316">
        <v>0</v>
      </c>
      <c r="G336" s="529">
        <f t="array" ref="G336">SUM(IF(CertFund&amp;CertProg&amp;CertObj=RIGHT(LEFT($A$2,7),2)&amp;LEFT(A333,4)&amp;B334,CertBen))</f>
        <v>0</v>
      </c>
      <c r="H336" s="527">
        <v>0</v>
      </c>
      <c r="I336" s="566">
        <f t="shared" si="9"/>
        <v>0</v>
      </c>
    </row>
    <row r="337" spans="1:10" x14ac:dyDescent="0.15">
      <c r="A337" s="138"/>
      <c r="B337" s="521" t="s">
        <v>1578</v>
      </c>
      <c r="C337" s="138" t="s">
        <v>511</v>
      </c>
      <c r="D337" s="147">
        <v>0</v>
      </c>
      <c r="E337" s="147">
        <v>0</v>
      </c>
      <c r="F337" s="147">
        <v>0</v>
      </c>
      <c r="G337" s="147">
        <v>0</v>
      </c>
      <c r="H337" s="150">
        <v>0</v>
      </c>
      <c r="I337" s="567">
        <f t="shared" si="9"/>
        <v>0</v>
      </c>
      <c r="J337" s="434"/>
    </row>
    <row r="338" spans="1:10" x14ac:dyDescent="0.15">
      <c r="A338" s="138"/>
      <c r="B338" s="521" t="s">
        <v>1579</v>
      </c>
      <c r="C338" s="138" t="s">
        <v>118</v>
      </c>
      <c r="D338" s="144">
        <v>0</v>
      </c>
      <c r="E338" s="144">
        <v>0</v>
      </c>
      <c r="F338" s="144">
        <v>0</v>
      </c>
      <c r="G338" s="291">
        <v>0</v>
      </c>
      <c r="H338" s="150">
        <v>0</v>
      </c>
      <c r="I338" s="567">
        <f t="shared" si="9"/>
        <v>0</v>
      </c>
    </row>
    <row r="339" spans="1:10" x14ac:dyDescent="0.15">
      <c r="A339" s="138"/>
      <c r="B339" s="521" t="s">
        <v>1580</v>
      </c>
      <c r="C339" s="138" t="s">
        <v>119</v>
      </c>
      <c r="D339" s="144">
        <v>0</v>
      </c>
      <c r="E339" s="144">
        <v>0</v>
      </c>
      <c r="F339" s="144">
        <v>0</v>
      </c>
      <c r="G339" s="291">
        <v>0</v>
      </c>
      <c r="H339" s="150">
        <v>0</v>
      </c>
      <c r="I339" s="567">
        <f t="shared" si="9"/>
        <v>0</v>
      </c>
    </row>
    <row r="340" spans="1:10" x14ac:dyDescent="0.15">
      <c r="A340" s="138"/>
      <c r="B340" s="521" t="s">
        <v>120</v>
      </c>
      <c r="C340" s="138" t="s">
        <v>121</v>
      </c>
      <c r="D340" s="144">
        <v>0</v>
      </c>
      <c r="E340" s="144">
        <v>0</v>
      </c>
      <c r="F340" s="144">
        <v>0</v>
      </c>
      <c r="G340" s="291">
        <v>0</v>
      </c>
      <c r="H340" s="150">
        <v>0</v>
      </c>
      <c r="I340" s="567">
        <f t="shared" si="9"/>
        <v>0</v>
      </c>
    </row>
    <row r="341" spans="1:10" x14ac:dyDescent="0.15">
      <c r="A341" s="138"/>
      <c r="B341" s="521" t="s">
        <v>122</v>
      </c>
      <c r="C341" s="138" t="s">
        <v>123</v>
      </c>
      <c r="D341" s="144">
        <v>0</v>
      </c>
      <c r="E341" s="144">
        <v>0</v>
      </c>
      <c r="F341" s="144">
        <v>0</v>
      </c>
      <c r="G341" s="291">
        <v>0</v>
      </c>
      <c r="H341" s="150">
        <v>0</v>
      </c>
      <c r="I341" s="567">
        <f t="shared" si="9"/>
        <v>0</v>
      </c>
    </row>
    <row r="342" spans="1:10" x14ac:dyDescent="0.15">
      <c r="A342" s="138"/>
      <c r="B342" s="521" t="s">
        <v>1581</v>
      </c>
      <c r="C342" s="138" t="s">
        <v>124</v>
      </c>
      <c r="D342" s="144">
        <v>0</v>
      </c>
      <c r="E342" s="144">
        <v>0</v>
      </c>
      <c r="F342" s="144">
        <v>0</v>
      </c>
      <c r="G342" s="291">
        <v>0</v>
      </c>
      <c r="H342" s="150">
        <v>0</v>
      </c>
      <c r="I342" s="567">
        <f t="shared" si="9"/>
        <v>0</v>
      </c>
    </row>
    <row r="343" spans="1:10" x14ac:dyDescent="0.15">
      <c r="A343" s="138"/>
      <c r="B343" s="521" t="s">
        <v>127</v>
      </c>
      <c r="C343" s="138" t="s">
        <v>134</v>
      </c>
      <c r="D343" s="144">
        <v>0</v>
      </c>
      <c r="E343" s="144">
        <v>0</v>
      </c>
      <c r="F343" s="144">
        <v>0</v>
      </c>
      <c r="G343" s="291">
        <v>0</v>
      </c>
      <c r="H343" s="150">
        <v>0</v>
      </c>
      <c r="I343" s="567">
        <f t="shared" si="9"/>
        <v>0</v>
      </c>
    </row>
    <row r="344" spans="1:10" x14ac:dyDescent="0.15">
      <c r="A344" s="138"/>
      <c r="B344" s="521" t="s">
        <v>132</v>
      </c>
      <c r="C344" s="138" t="s">
        <v>1617</v>
      </c>
      <c r="D344" s="144">
        <v>0</v>
      </c>
      <c r="E344" s="144">
        <v>0</v>
      </c>
      <c r="F344" s="144">
        <v>0</v>
      </c>
      <c r="G344" s="291">
        <v>0</v>
      </c>
      <c r="H344" s="150">
        <v>0</v>
      </c>
      <c r="I344" s="567">
        <f t="shared" si="9"/>
        <v>0</v>
      </c>
    </row>
    <row r="345" spans="1:10" x14ac:dyDescent="0.15">
      <c r="A345" s="138"/>
      <c r="B345" s="521" t="s">
        <v>1618</v>
      </c>
      <c r="C345" s="138" t="s">
        <v>836</v>
      </c>
      <c r="D345" s="144">
        <v>0</v>
      </c>
      <c r="E345" s="144">
        <v>0</v>
      </c>
      <c r="F345" s="144">
        <v>0</v>
      </c>
      <c r="G345" s="291">
        <v>0</v>
      </c>
      <c r="H345" s="150">
        <v>0</v>
      </c>
      <c r="I345" s="567">
        <f t="shared" si="9"/>
        <v>0</v>
      </c>
    </row>
    <row r="346" spans="1:10" x14ac:dyDescent="0.15">
      <c r="A346" s="138"/>
      <c r="B346" s="521" t="s">
        <v>1619</v>
      </c>
      <c r="C346" s="138" t="s">
        <v>185</v>
      </c>
      <c r="D346" s="144">
        <v>0</v>
      </c>
      <c r="E346" s="144">
        <v>0</v>
      </c>
      <c r="F346" s="144">
        <v>0</v>
      </c>
      <c r="G346" s="291">
        <v>0</v>
      </c>
      <c r="H346" s="150">
        <v>0</v>
      </c>
      <c r="I346" s="567">
        <f t="shared" si="9"/>
        <v>0</v>
      </c>
    </row>
    <row r="347" spans="1:10" x14ac:dyDescent="0.15">
      <c r="A347" s="138"/>
      <c r="B347" s="521" t="s">
        <v>1620</v>
      </c>
      <c r="C347" s="138" t="s">
        <v>838</v>
      </c>
      <c r="D347" s="144">
        <v>0</v>
      </c>
      <c r="E347" s="144">
        <v>0</v>
      </c>
      <c r="F347" s="144">
        <v>0</v>
      </c>
      <c r="G347" s="291">
        <v>0</v>
      </c>
      <c r="H347" s="150">
        <v>0</v>
      </c>
      <c r="I347" s="567">
        <f t="shared" si="9"/>
        <v>0</v>
      </c>
    </row>
    <row r="348" spans="1:10" x14ac:dyDescent="0.15">
      <c r="A348" s="138"/>
      <c r="B348" s="521" t="s">
        <v>1621</v>
      </c>
      <c r="C348" s="138" t="s">
        <v>839</v>
      </c>
      <c r="D348" s="144">
        <v>0</v>
      </c>
      <c r="E348" s="144">
        <v>0</v>
      </c>
      <c r="F348" s="144">
        <v>0</v>
      </c>
      <c r="G348" s="291">
        <v>0</v>
      </c>
      <c r="H348" s="150">
        <v>0</v>
      </c>
      <c r="I348" s="567">
        <f t="shared" si="9"/>
        <v>0</v>
      </c>
    </row>
    <row r="349" spans="1:10" x14ac:dyDescent="0.15">
      <c r="A349" s="138"/>
      <c r="B349" s="521" t="s">
        <v>1622</v>
      </c>
      <c r="C349" s="138" t="s">
        <v>190</v>
      </c>
      <c r="D349" s="144">
        <v>0</v>
      </c>
      <c r="E349" s="144">
        <v>0</v>
      </c>
      <c r="F349" s="144">
        <v>0</v>
      </c>
      <c r="G349" s="291">
        <v>0</v>
      </c>
      <c r="H349" s="150">
        <v>0</v>
      </c>
      <c r="I349" s="567">
        <f t="shared" si="9"/>
        <v>0</v>
      </c>
    </row>
    <row r="350" spans="1:10" x14ac:dyDescent="0.15">
      <c r="A350" s="138"/>
      <c r="B350" s="521" t="s">
        <v>1623</v>
      </c>
      <c r="C350" s="138" t="s">
        <v>191</v>
      </c>
      <c r="D350" s="144">
        <v>0</v>
      </c>
      <c r="E350" s="144">
        <v>0</v>
      </c>
      <c r="F350" s="144">
        <v>0</v>
      </c>
      <c r="G350" s="291">
        <v>0</v>
      </c>
      <c r="H350" s="150">
        <v>0</v>
      </c>
      <c r="I350" s="567">
        <f t="shared" si="9"/>
        <v>0</v>
      </c>
    </row>
    <row r="351" spans="1:10" x14ac:dyDescent="0.15">
      <c r="A351" s="138"/>
      <c r="B351" s="521" t="s">
        <v>1624</v>
      </c>
      <c r="C351" s="138" t="s">
        <v>840</v>
      </c>
      <c r="D351" s="144">
        <v>0</v>
      </c>
      <c r="E351" s="144">
        <v>0</v>
      </c>
      <c r="F351" s="144">
        <v>0</v>
      </c>
      <c r="G351" s="291">
        <v>0</v>
      </c>
      <c r="H351" s="150">
        <v>0</v>
      </c>
      <c r="I351" s="567">
        <f t="shared" si="9"/>
        <v>0</v>
      </c>
    </row>
    <row r="352" spans="1:10" x14ac:dyDescent="0.15">
      <c r="A352" s="138"/>
      <c r="B352" s="521" t="s">
        <v>1625</v>
      </c>
      <c r="C352" s="138" t="s">
        <v>842</v>
      </c>
      <c r="D352" s="144">
        <v>0</v>
      </c>
      <c r="E352" s="144">
        <v>0</v>
      </c>
      <c r="F352" s="144">
        <v>0</v>
      </c>
      <c r="G352" s="291">
        <v>0</v>
      </c>
      <c r="H352" s="150">
        <v>0</v>
      </c>
      <c r="I352" s="567">
        <f t="shared" si="9"/>
        <v>0</v>
      </c>
    </row>
    <row r="353" spans="1:9" x14ac:dyDescent="0.15">
      <c r="A353" s="138"/>
      <c r="B353" s="521" t="s">
        <v>843</v>
      </c>
      <c r="C353" s="138" t="s">
        <v>848</v>
      </c>
      <c r="D353" s="144">
        <v>0</v>
      </c>
      <c r="E353" s="144">
        <v>0</v>
      </c>
      <c r="F353" s="144">
        <v>0</v>
      </c>
      <c r="G353" s="291">
        <v>0</v>
      </c>
      <c r="H353" s="150">
        <v>0</v>
      </c>
      <c r="I353" s="567">
        <f t="shared" si="9"/>
        <v>0</v>
      </c>
    </row>
    <row r="354" spans="1:9" x14ac:dyDescent="0.15">
      <c r="A354" s="138"/>
      <c r="B354" s="521" t="s">
        <v>844</v>
      </c>
      <c r="C354" s="138" t="s">
        <v>186</v>
      </c>
      <c r="D354" s="144">
        <v>0</v>
      </c>
      <c r="E354" s="144">
        <v>0</v>
      </c>
      <c r="F354" s="144">
        <v>0</v>
      </c>
      <c r="G354" s="291">
        <v>0</v>
      </c>
      <c r="H354" s="150">
        <v>0</v>
      </c>
      <c r="I354" s="567">
        <f t="shared" si="9"/>
        <v>0</v>
      </c>
    </row>
    <row r="355" spans="1:9" x14ac:dyDescent="0.15">
      <c r="A355" s="138"/>
      <c r="B355" s="521" t="s">
        <v>845</v>
      </c>
      <c r="C355" s="138" t="s">
        <v>154</v>
      </c>
      <c r="D355" s="144">
        <v>0</v>
      </c>
      <c r="E355" s="144">
        <v>0</v>
      </c>
      <c r="F355" s="144">
        <v>0</v>
      </c>
      <c r="G355" s="291">
        <v>0</v>
      </c>
      <c r="H355" s="150">
        <v>0</v>
      </c>
      <c r="I355" s="567">
        <f t="shared" si="9"/>
        <v>0</v>
      </c>
    </row>
    <row r="356" spans="1:9" x14ac:dyDescent="0.15">
      <c r="A356" s="138"/>
      <c r="B356" s="521" t="s">
        <v>846</v>
      </c>
      <c r="C356" s="138" t="s">
        <v>155</v>
      </c>
      <c r="D356" s="144">
        <v>0</v>
      </c>
      <c r="E356" s="144">
        <v>0</v>
      </c>
      <c r="F356" s="144">
        <v>0</v>
      </c>
      <c r="G356" s="291">
        <v>0</v>
      </c>
      <c r="H356" s="150">
        <v>0</v>
      </c>
      <c r="I356" s="567">
        <f t="shared" si="9"/>
        <v>0</v>
      </c>
    </row>
    <row r="357" spans="1:9" x14ac:dyDescent="0.15">
      <c r="A357" s="138"/>
      <c r="B357" s="521" t="s">
        <v>1582</v>
      </c>
      <c r="C357" s="138" t="s">
        <v>156</v>
      </c>
      <c r="D357" s="144">
        <v>0</v>
      </c>
      <c r="E357" s="144">
        <v>0</v>
      </c>
      <c r="F357" s="144">
        <v>0</v>
      </c>
      <c r="G357" s="291">
        <v>0</v>
      </c>
      <c r="H357" s="150">
        <v>0</v>
      </c>
      <c r="I357" s="567">
        <f t="shared" si="9"/>
        <v>0</v>
      </c>
    </row>
    <row r="358" spans="1:9" x14ac:dyDescent="0.15">
      <c r="A358" s="138"/>
      <c r="B358" s="521" t="s">
        <v>847</v>
      </c>
      <c r="C358" s="138" t="s">
        <v>157</v>
      </c>
      <c r="D358" s="144">
        <v>0</v>
      </c>
      <c r="E358" s="144">
        <v>0</v>
      </c>
      <c r="F358" s="144">
        <v>0</v>
      </c>
      <c r="G358" s="291">
        <v>0</v>
      </c>
      <c r="H358" s="150">
        <v>0</v>
      </c>
      <c r="I358" s="567">
        <f t="shared" si="9"/>
        <v>0</v>
      </c>
    </row>
    <row r="359" spans="1:9" x14ac:dyDescent="0.15">
      <c r="A359" s="138"/>
      <c r="B359" s="521" t="s">
        <v>1583</v>
      </c>
      <c r="C359" s="138" t="s">
        <v>160</v>
      </c>
      <c r="D359" s="144">
        <v>0</v>
      </c>
      <c r="E359" s="144">
        <v>0</v>
      </c>
      <c r="F359" s="144">
        <v>0</v>
      </c>
      <c r="G359" s="291">
        <v>0</v>
      </c>
      <c r="H359" s="150">
        <v>0</v>
      </c>
      <c r="I359" s="567">
        <f t="shared" si="9"/>
        <v>0</v>
      </c>
    </row>
    <row r="360" spans="1:9" x14ac:dyDescent="0.15">
      <c r="A360" s="138"/>
      <c r="B360" s="521" t="s">
        <v>634</v>
      </c>
      <c r="C360" s="138" t="s">
        <v>165</v>
      </c>
      <c r="D360" s="144">
        <v>0</v>
      </c>
      <c r="E360" s="144">
        <v>0</v>
      </c>
      <c r="F360" s="144">
        <v>0</v>
      </c>
      <c r="G360" s="291">
        <v>0</v>
      </c>
      <c r="H360" s="150">
        <v>0</v>
      </c>
      <c r="I360" s="567">
        <f t="shared" si="9"/>
        <v>0</v>
      </c>
    </row>
    <row r="361" spans="1:9" x14ac:dyDescent="0.15">
      <c r="A361" s="138"/>
      <c r="B361" s="521" t="s">
        <v>630</v>
      </c>
      <c r="C361" s="138" t="s">
        <v>172</v>
      </c>
      <c r="D361" s="144">
        <v>0</v>
      </c>
      <c r="E361" s="144">
        <v>0</v>
      </c>
      <c r="F361" s="144">
        <v>0</v>
      </c>
      <c r="G361" s="291">
        <v>0</v>
      </c>
      <c r="H361" s="150">
        <v>0</v>
      </c>
      <c r="I361" s="567">
        <f t="shared" si="9"/>
        <v>0</v>
      </c>
    </row>
    <row r="362" spans="1:9" x14ac:dyDescent="0.15">
      <c r="A362" s="138"/>
      <c r="B362" s="650" t="s">
        <v>631</v>
      </c>
      <c r="C362" s="651" t="s">
        <v>173</v>
      </c>
      <c r="D362" s="144">
        <v>0</v>
      </c>
      <c r="E362" s="144">
        <v>0</v>
      </c>
      <c r="F362" s="144">
        <v>0</v>
      </c>
      <c r="G362" s="291">
        <v>0</v>
      </c>
      <c r="H362" s="150">
        <v>0</v>
      </c>
      <c r="I362" s="567">
        <f t="shared" si="9"/>
        <v>0</v>
      </c>
    </row>
    <row r="363" spans="1:9" x14ac:dyDescent="0.15">
      <c r="A363" s="138"/>
      <c r="B363" s="521" t="s">
        <v>1584</v>
      </c>
      <c r="C363" s="138" t="s">
        <v>178</v>
      </c>
      <c r="D363" s="144">
        <v>0</v>
      </c>
      <c r="E363" s="144">
        <v>0</v>
      </c>
      <c r="F363" s="144">
        <v>0</v>
      </c>
      <c r="G363" s="291">
        <v>0</v>
      </c>
      <c r="H363" s="150">
        <v>0</v>
      </c>
      <c r="I363" s="567">
        <f t="shared" si="9"/>
        <v>0</v>
      </c>
    </row>
    <row r="364" spans="1:9" x14ac:dyDescent="0.15">
      <c r="A364" s="138"/>
      <c r="B364" s="521" t="s">
        <v>174</v>
      </c>
      <c r="C364" s="138" t="s">
        <v>179</v>
      </c>
      <c r="D364" s="144">
        <v>0</v>
      </c>
      <c r="E364" s="144">
        <v>0</v>
      </c>
      <c r="F364" s="144">
        <v>0</v>
      </c>
      <c r="G364" s="291">
        <v>0</v>
      </c>
      <c r="H364" s="150">
        <v>0</v>
      </c>
      <c r="I364" s="567">
        <f t="shared" si="9"/>
        <v>0</v>
      </c>
    </row>
    <row r="365" spans="1:9" x14ac:dyDescent="0.15">
      <c r="A365" s="138"/>
      <c r="B365" s="521" t="s">
        <v>175</v>
      </c>
      <c r="C365" s="138" t="s">
        <v>180</v>
      </c>
      <c r="D365" s="144">
        <v>0</v>
      </c>
      <c r="E365" s="144">
        <v>0</v>
      </c>
      <c r="F365" s="144">
        <v>0</v>
      </c>
      <c r="G365" s="291">
        <v>0</v>
      </c>
      <c r="H365" s="150">
        <v>0</v>
      </c>
      <c r="I365" s="567">
        <f t="shared" si="9"/>
        <v>0</v>
      </c>
    </row>
    <row r="366" spans="1:9" ht="11.25" thickBot="1" x14ac:dyDescent="0.2">
      <c r="A366" s="138"/>
      <c r="B366" s="521" t="s">
        <v>176</v>
      </c>
      <c r="C366" s="138" t="s">
        <v>181</v>
      </c>
      <c r="D366" s="144">
        <v>0</v>
      </c>
      <c r="E366" s="144">
        <v>0</v>
      </c>
      <c r="F366" s="144">
        <v>0</v>
      </c>
      <c r="G366" s="291">
        <v>0</v>
      </c>
      <c r="H366" s="150">
        <v>0</v>
      </c>
      <c r="I366" s="567">
        <f t="shared" si="9"/>
        <v>0</v>
      </c>
    </row>
    <row r="367" spans="1:9" ht="12" thickTop="1" thickBot="1" x14ac:dyDescent="0.2">
      <c r="A367" s="138"/>
      <c r="B367" s="521"/>
      <c r="C367" s="138" t="s">
        <v>236</v>
      </c>
      <c r="D367" s="169">
        <f>SUM(D334:D366)</f>
        <v>0</v>
      </c>
      <c r="E367" s="169">
        <f>SUM(E334:E366)</f>
        <v>0</v>
      </c>
      <c r="F367" s="169">
        <f>SUM(F334:F366)</f>
        <v>0</v>
      </c>
      <c r="G367" s="169">
        <f>SUM(G334:G366)</f>
        <v>0</v>
      </c>
      <c r="H367" s="169">
        <f>SUM(H334:H366)</f>
        <v>0</v>
      </c>
      <c r="I367" s="169">
        <f t="shared" si="9"/>
        <v>0</v>
      </c>
    </row>
    <row r="368" spans="1:9" ht="11.25" thickTop="1" x14ac:dyDescent="0.15">
      <c r="A368" s="138"/>
      <c r="B368" s="521"/>
      <c r="C368" s="138"/>
      <c r="D368" s="14"/>
      <c r="E368" s="14"/>
      <c r="F368" s="14"/>
      <c r="G368" s="14"/>
      <c r="H368" s="14"/>
      <c r="I368" s="563"/>
    </row>
    <row r="369" spans="1:10" x14ac:dyDescent="0.15">
      <c r="A369" s="512" t="s">
        <v>239</v>
      </c>
      <c r="B369" s="138"/>
      <c r="C369" s="138"/>
      <c r="D369" s="14"/>
      <c r="E369" s="14"/>
      <c r="F369" s="14"/>
      <c r="G369" s="14"/>
      <c r="H369" s="14"/>
      <c r="I369" s="563"/>
    </row>
    <row r="370" spans="1:10" x14ac:dyDescent="0.15">
      <c r="A370" s="522" t="s">
        <v>238</v>
      </c>
      <c r="B370" s="138"/>
      <c r="C370" s="138"/>
      <c r="D370" s="14"/>
      <c r="E370" s="14"/>
      <c r="F370" s="14"/>
      <c r="G370" s="14"/>
      <c r="H370" s="14"/>
      <c r="I370" s="563"/>
    </row>
    <row r="371" spans="1:10" s="434" customFormat="1" x14ac:dyDescent="0.15">
      <c r="B371" s="523" t="s">
        <v>1577</v>
      </c>
      <c r="C371" s="524" t="s">
        <v>228</v>
      </c>
      <c r="D371" s="316">
        <v>0</v>
      </c>
      <c r="E371" s="316">
        <v>0</v>
      </c>
      <c r="F371" s="316">
        <v>0</v>
      </c>
      <c r="G371" s="528">
        <f t="array" ref="G371">SUM(IF(CertFund&amp;CertProg&amp;CertObj=RIGHT(LEFT($A$2,7),2)&amp;LEFT(A370,4)&amp;B371,CertSalary))</f>
        <v>0</v>
      </c>
      <c r="H371" s="527">
        <v>0</v>
      </c>
      <c r="I371" s="566">
        <f t="shared" ref="I371:I405" si="10">SUM(G371+H371)</f>
        <v>0</v>
      </c>
    </row>
    <row r="372" spans="1:10" s="434" customFormat="1" x14ac:dyDescent="0.15">
      <c r="B372" s="523" t="s">
        <v>1577</v>
      </c>
      <c r="C372" s="524" t="s">
        <v>510</v>
      </c>
      <c r="D372" s="316">
        <v>0</v>
      </c>
      <c r="E372" s="316">
        <v>0</v>
      </c>
      <c r="F372" s="316">
        <v>0</v>
      </c>
      <c r="G372" s="316">
        <v>0</v>
      </c>
      <c r="H372" s="527">
        <v>0</v>
      </c>
      <c r="I372" s="566">
        <f t="shared" si="10"/>
        <v>0</v>
      </c>
    </row>
    <row r="373" spans="1:10" s="434" customFormat="1" x14ac:dyDescent="0.15">
      <c r="A373" s="524"/>
      <c r="B373" s="523" t="s">
        <v>1578</v>
      </c>
      <c r="C373" s="524" t="s">
        <v>936</v>
      </c>
      <c r="D373" s="316">
        <v>0</v>
      </c>
      <c r="E373" s="316">
        <v>0</v>
      </c>
      <c r="F373" s="316">
        <v>0</v>
      </c>
      <c r="G373" s="529">
        <f t="array" ref="G373">SUM(IF(CertFund&amp;CertProg&amp;CertObj=RIGHT(LEFT($A$2,7),2)&amp;LEFT(A370,4)&amp;B371,CertBen))</f>
        <v>0</v>
      </c>
      <c r="H373" s="527">
        <v>0</v>
      </c>
      <c r="I373" s="566">
        <f t="shared" si="10"/>
        <v>0</v>
      </c>
    </row>
    <row r="374" spans="1:10" x14ac:dyDescent="0.15">
      <c r="A374" s="138"/>
      <c r="B374" s="521" t="s">
        <v>1578</v>
      </c>
      <c r="C374" s="138" t="s">
        <v>511</v>
      </c>
      <c r="D374" s="147">
        <v>0</v>
      </c>
      <c r="E374" s="147">
        <v>0</v>
      </c>
      <c r="F374" s="147">
        <v>0</v>
      </c>
      <c r="G374" s="147">
        <v>0</v>
      </c>
      <c r="H374" s="150">
        <v>0</v>
      </c>
      <c r="I374" s="567">
        <f t="shared" si="10"/>
        <v>0</v>
      </c>
      <c r="J374" s="434"/>
    </row>
    <row r="375" spans="1:10" x14ac:dyDescent="0.15">
      <c r="A375" s="138"/>
      <c r="B375" s="521" t="s">
        <v>1579</v>
      </c>
      <c r="C375" s="138" t="s">
        <v>118</v>
      </c>
      <c r="D375" s="144">
        <v>0</v>
      </c>
      <c r="E375" s="144">
        <v>0</v>
      </c>
      <c r="F375" s="144">
        <v>0</v>
      </c>
      <c r="G375" s="291">
        <v>0</v>
      </c>
      <c r="H375" s="150">
        <v>0</v>
      </c>
      <c r="I375" s="567">
        <f t="shared" si="10"/>
        <v>0</v>
      </c>
    </row>
    <row r="376" spans="1:10" x14ac:dyDescent="0.15">
      <c r="A376" s="138"/>
      <c r="B376" s="521" t="s">
        <v>1580</v>
      </c>
      <c r="C376" s="138" t="s">
        <v>119</v>
      </c>
      <c r="D376" s="144">
        <v>0</v>
      </c>
      <c r="E376" s="144">
        <v>0</v>
      </c>
      <c r="F376" s="144">
        <v>0</v>
      </c>
      <c r="G376" s="291">
        <v>0</v>
      </c>
      <c r="H376" s="150">
        <v>0</v>
      </c>
      <c r="I376" s="567">
        <f t="shared" si="10"/>
        <v>0</v>
      </c>
    </row>
    <row r="377" spans="1:10" x14ac:dyDescent="0.15">
      <c r="A377" s="138"/>
      <c r="B377" s="521" t="s">
        <v>120</v>
      </c>
      <c r="C377" s="138" t="s">
        <v>121</v>
      </c>
      <c r="D377" s="144">
        <v>0</v>
      </c>
      <c r="E377" s="144">
        <v>0</v>
      </c>
      <c r="F377" s="144">
        <v>0</v>
      </c>
      <c r="G377" s="291">
        <v>0</v>
      </c>
      <c r="H377" s="150">
        <v>0</v>
      </c>
      <c r="I377" s="567">
        <f t="shared" si="10"/>
        <v>0</v>
      </c>
    </row>
    <row r="378" spans="1:10" x14ac:dyDescent="0.15">
      <c r="A378" s="138"/>
      <c r="B378" s="521" t="s">
        <v>122</v>
      </c>
      <c r="C378" s="138" t="s">
        <v>123</v>
      </c>
      <c r="D378" s="144">
        <v>0</v>
      </c>
      <c r="E378" s="144">
        <v>0</v>
      </c>
      <c r="F378" s="144">
        <v>0</v>
      </c>
      <c r="G378" s="291">
        <v>0</v>
      </c>
      <c r="H378" s="150">
        <v>0</v>
      </c>
      <c r="I378" s="567">
        <f t="shared" si="10"/>
        <v>0</v>
      </c>
    </row>
    <row r="379" spans="1:10" x14ac:dyDescent="0.15">
      <c r="A379" s="138"/>
      <c r="B379" s="521" t="s">
        <v>1581</v>
      </c>
      <c r="C379" s="138" t="s">
        <v>124</v>
      </c>
      <c r="D379" s="144">
        <v>0</v>
      </c>
      <c r="E379" s="144">
        <v>0</v>
      </c>
      <c r="F379" s="144">
        <v>0</v>
      </c>
      <c r="G379" s="291">
        <v>0</v>
      </c>
      <c r="H379" s="150">
        <v>0</v>
      </c>
      <c r="I379" s="567">
        <f t="shared" si="10"/>
        <v>0</v>
      </c>
    </row>
    <row r="380" spans="1:10" x14ac:dyDescent="0.15">
      <c r="A380" s="138"/>
      <c r="B380" s="521" t="s">
        <v>127</v>
      </c>
      <c r="C380" s="138" t="s">
        <v>134</v>
      </c>
      <c r="D380" s="144">
        <v>0</v>
      </c>
      <c r="E380" s="144">
        <v>0</v>
      </c>
      <c r="F380" s="144">
        <v>0</v>
      </c>
      <c r="G380" s="291">
        <v>0</v>
      </c>
      <c r="H380" s="150">
        <v>0</v>
      </c>
      <c r="I380" s="567">
        <f t="shared" si="10"/>
        <v>0</v>
      </c>
    </row>
    <row r="381" spans="1:10" x14ac:dyDescent="0.15">
      <c r="A381" s="138"/>
      <c r="B381" s="521" t="s">
        <v>128</v>
      </c>
      <c r="C381" s="138" t="s">
        <v>135</v>
      </c>
      <c r="D381" s="144">
        <v>0</v>
      </c>
      <c r="E381" s="144">
        <v>0</v>
      </c>
      <c r="F381" s="144">
        <v>0</v>
      </c>
      <c r="G381" s="291">
        <v>0</v>
      </c>
      <c r="H381" s="150">
        <v>0</v>
      </c>
      <c r="I381" s="567">
        <f t="shared" si="10"/>
        <v>0</v>
      </c>
    </row>
    <row r="382" spans="1:10" x14ac:dyDescent="0.15">
      <c r="A382" s="138"/>
      <c r="B382" s="521" t="s">
        <v>132</v>
      </c>
      <c r="C382" s="138" t="s">
        <v>1617</v>
      </c>
      <c r="D382" s="144">
        <v>0</v>
      </c>
      <c r="E382" s="144">
        <v>0</v>
      </c>
      <c r="F382" s="144">
        <v>0</v>
      </c>
      <c r="G382" s="291">
        <v>0</v>
      </c>
      <c r="H382" s="150">
        <v>0</v>
      </c>
      <c r="I382" s="567">
        <f t="shared" si="10"/>
        <v>0</v>
      </c>
    </row>
    <row r="383" spans="1:10" x14ac:dyDescent="0.15">
      <c r="A383" s="138"/>
      <c r="B383" s="521" t="s">
        <v>1618</v>
      </c>
      <c r="C383" s="138" t="s">
        <v>836</v>
      </c>
      <c r="D383" s="144">
        <v>0</v>
      </c>
      <c r="E383" s="144">
        <v>0</v>
      </c>
      <c r="F383" s="144">
        <v>0</v>
      </c>
      <c r="G383" s="291">
        <v>0</v>
      </c>
      <c r="H383" s="150">
        <v>0</v>
      </c>
      <c r="I383" s="567">
        <f t="shared" si="10"/>
        <v>0</v>
      </c>
    </row>
    <row r="384" spans="1:10" x14ac:dyDescent="0.15">
      <c r="A384" s="138"/>
      <c r="B384" s="521" t="s">
        <v>1619</v>
      </c>
      <c r="C384" s="138" t="s">
        <v>837</v>
      </c>
      <c r="D384" s="144">
        <v>0</v>
      </c>
      <c r="E384" s="144">
        <v>0</v>
      </c>
      <c r="F384" s="144">
        <v>0</v>
      </c>
      <c r="G384" s="291">
        <v>0</v>
      </c>
      <c r="H384" s="150">
        <v>0</v>
      </c>
      <c r="I384" s="567">
        <f t="shared" si="10"/>
        <v>0</v>
      </c>
    </row>
    <row r="385" spans="1:9" x14ac:dyDescent="0.15">
      <c r="A385" s="138"/>
      <c r="B385" s="521" t="s">
        <v>1620</v>
      </c>
      <c r="C385" s="138" t="s">
        <v>838</v>
      </c>
      <c r="D385" s="144">
        <v>0</v>
      </c>
      <c r="E385" s="144">
        <v>0</v>
      </c>
      <c r="F385" s="144">
        <v>0</v>
      </c>
      <c r="G385" s="291">
        <v>0</v>
      </c>
      <c r="H385" s="150">
        <v>0</v>
      </c>
      <c r="I385" s="567">
        <f t="shared" si="10"/>
        <v>0</v>
      </c>
    </row>
    <row r="386" spans="1:9" x14ac:dyDescent="0.15">
      <c r="A386" s="138"/>
      <c r="B386" s="521" t="s">
        <v>1621</v>
      </c>
      <c r="C386" s="138" t="s">
        <v>839</v>
      </c>
      <c r="D386" s="144">
        <v>0</v>
      </c>
      <c r="E386" s="144">
        <v>0</v>
      </c>
      <c r="F386" s="144">
        <v>0</v>
      </c>
      <c r="G386" s="291">
        <v>0</v>
      </c>
      <c r="H386" s="150">
        <v>0</v>
      </c>
      <c r="I386" s="567">
        <f t="shared" si="10"/>
        <v>0</v>
      </c>
    </row>
    <row r="387" spans="1:9" x14ac:dyDescent="0.15">
      <c r="A387" s="138"/>
      <c r="B387" s="521" t="s">
        <v>1622</v>
      </c>
      <c r="C387" s="138" t="s">
        <v>190</v>
      </c>
      <c r="D387" s="144">
        <v>0</v>
      </c>
      <c r="E387" s="144">
        <v>0</v>
      </c>
      <c r="F387" s="144">
        <v>0</v>
      </c>
      <c r="G387" s="291">
        <v>0</v>
      </c>
      <c r="H387" s="150">
        <v>0</v>
      </c>
      <c r="I387" s="567">
        <f t="shared" si="10"/>
        <v>0</v>
      </c>
    </row>
    <row r="388" spans="1:9" x14ac:dyDescent="0.15">
      <c r="A388" s="138"/>
      <c r="B388" s="521" t="s">
        <v>1623</v>
      </c>
      <c r="C388" s="138" t="s">
        <v>191</v>
      </c>
      <c r="D388" s="144">
        <v>0</v>
      </c>
      <c r="E388" s="144">
        <v>0</v>
      </c>
      <c r="F388" s="144">
        <v>0</v>
      </c>
      <c r="G388" s="291">
        <v>0</v>
      </c>
      <c r="H388" s="150">
        <v>0</v>
      </c>
      <c r="I388" s="567">
        <f t="shared" si="10"/>
        <v>0</v>
      </c>
    </row>
    <row r="389" spans="1:9" x14ac:dyDescent="0.15">
      <c r="A389" s="138"/>
      <c r="B389" s="521" t="s">
        <v>1624</v>
      </c>
      <c r="C389" s="138" t="s">
        <v>840</v>
      </c>
      <c r="D389" s="144">
        <v>0</v>
      </c>
      <c r="E389" s="144">
        <v>0</v>
      </c>
      <c r="F389" s="144">
        <v>0</v>
      </c>
      <c r="G389" s="291">
        <v>0</v>
      </c>
      <c r="H389" s="150">
        <v>0</v>
      </c>
      <c r="I389" s="567">
        <f t="shared" si="10"/>
        <v>0</v>
      </c>
    </row>
    <row r="390" spans="1:9" x14ac:dyDescent="0.15">
      <c r="A390" s="138"/>
      <c r="B390" s="521" t="s">
        <v>1625</v>
      </c>
      <c r="C390" s="138" t="s">
        <v>842</v>
      </c>
      <c r="D390" s="144">
        <v>0</v>
      </c>
      <c r="E390" s="144">
        <v>0</v>
      </c>
      <c r="F390" s="144">
        <v>0</v>
      </c>
      <c r="G390" s="291">
        <v>0</v>
      </c>
      <c r="H390" s="150">
        <v>0</v>
      </c>
      <c r="I390" s="567">
        <f t="shared" si="10"/>
        <v>0</v>
      </c>
    </row>
    <row r="391" spans="1:9" x14ac:dyDescent="0.15">
      <c r="A391" s="138"/>
      <c r="B391" s="521" t="s">
        <v>843</v>
      </c>
      <c r="C391" s="138" t="s">
        <v>848</v>
      </c>
      <c r="D391" s="144">
        <v>0</v>
      </c>
      <c r="E391" s="144">
        <v>0</v>
      </c>
      <c r="F391" s="144">
        <v>0</v>
      </c>
      <c r="G391" s="291">
        <v>0</v>
      </c>
      <c r="H391" s="150">
        <v>0</v>
      </c>
      <c r="I391" s="567">
        <f t="shared" si="10"/>
        <v>0</v>
      </c>
    </row>
    <row r="392" spans="1:9" x14ac:dyDescent="0.15">
      <c r="A392" s="138"/>
      <c r="B392" s="521" t="s">
        <v>844</v>
      </c>
      <c r="C392" s="138" t="s">
        <v>153</v>
      </c>
      <c r="D392" s="144">
        <v>0</v>
      </c>
      <c r="E392" s="144">
        <v>0</v>
      </c>
      <c r="F392" s="144">
        <v>0</v>
      </c>
      <c r="G392" s="291">
        <v>0</v>
      </c>
      <c r="H392" s="150">
        <v>0</v>
      </c>
      <c r="I392" s="567">
        <f t="shared" si="10"/>
        <v>0</v>
      </c>
    </row>
    <row r="393" spans="1:9" x14ac:dyDescent="0.15">
      <c r="A393" s="138"/>
      <c r="B393" s="521" t="s">
        <v>845</v>
      </c>
      <c r="C393" s="138" t="s">
        <v>154</v>
      </c>
      <c r="D393" s="144">
        <v>0</v>
      </c>
      <c r="E393" s="144">
        <v>0</v>
      </c>
      <c r="F393" s="144">
        <v>0</v>
      </c>
      <c r="G393" s="291">
        <v>0</v>
      </c>
      <c r="H393" s="150">
        <v>0</v>
      </c>
      <c r="I393" s="567">
        <f t="shared" si="10"/>
        <v>0</v>
      </c>
    </row>
    <row r="394" spans="1:9" x14ac:dyDescent="0.15">
      <c r="A394" s="138"/>
      <c r="B394" s="521" t="s">
        <v>846</v>
      </c>
      <c r="C394" s="138" t="s">
        <v>155</v>
      </c>
      <c r="D394" s="144">
        <v>0</v>
      </c>
      <c r="E394" s="144">
        <v>0</v>
      </c>
      <c r="F394" s="144">
        <v>0</v>
      </c>
      <c r="G394" s="291">
        <v>0</v>
      </c>
      <c r="H394" s="150">
        <v>0</v>
      </c>
      <c r="I394" s="567">
        <f t="shared" si="10"/>
        <v>0</v>
      </c>
    </row>
    <row r="395" spans="1:9" x14ac:dyDescent="0.15">
      <c r="A395" s="138"/>
      <c r="B395" s="521" t="s">
        <v>1582</v>
      </c>
      <c r="C395" s="138" t="s">
        <v>156</v>
      </c>
      <c r="D395" s="144">
        <v>0</v>
      </c>
      <c r="E395" s="144">
        <v>0</v>
      </c>
      <c r="F395" s="144">
        <v>0</v>
      </c>
      <c r="G395" s="291">
        <v>0</v>
      </c>
      <c r="H395" s="150">
        <v>0</v>
      </c>
      <c r="I395" s="567">
        <f t="shared" si="10"/>
        <v>0</v>
      </c>
    </row>
    <row r="396" spans="1:9" x14ac:dyDescent="0.15">
      <c r="A396" s="138"/>
      <c r="B396" s="521" t="s">
        <v>847</v>
      </c>
      <c r="C396" s="138" t="s">
        <v>157</v>
      </c>
      <c r="D396" s="144">
        <v>0</v>
      </c>
      <c r="E396" s="144">
        <v>0</v>
      </c>
      <c r="F396" s="144">
        <v>0</v>
      </c>
      <c r="G396" s="291">
        <v>0</v>
      </c>
      <c r="H396" s="150">
        <v>0</v>
      </c>
      <c r="I396" s="567">
        <f t="shared" si="10"/>
        <v>0</v>
      </c>
    </row>
    <row r="397" spans="1:9" x14ac:dyDescent="0.15">
      <c r="A397" s="138"/>
      <c r="B397" s="521" t="s">
        <v>1583</v>
      </c>
      <c r="C397" s="138" t="s">
        <v>160</v>
      </c>
      <c r="D397" s="144">
        <v>0</v>
      </c>
      <c r="E397" s="144">
        <v>0</v>
      </c>
      <c r="F397" s="144">
        <v>0</v>
      </c>
      <c r="G397" s="291">
        <v>0</v>
      </c>
      <c r="H397" s="150">
        <v>0</v>
      </c>
      <c r="I397" s="567">
        <f t="shared" si="10"/>
        <v>0</v>
      </c>
    </row>
    <row r="398" spans="1:9" x14ac:dyDescent="0.15">
      <c r="A398" s="138"/>
      <c r="B398" s="521" t="s">
        <v>634</v>
      </c>
      <c r="C398" s="138" t="s">
        <v>165</v>
      </c>
      <c r="D398" s="144">
        <v>0</v>
      </c>
      <c r="E398" s="144">
        <v>0</v>
      </c>
      <c r="F398" s="144">
        <v>0</v>
      </c>
      <c r="G398" s="291">
        <v>0</v>
      </c>
      <c r="H398" s="150">
        <v>0</v>
      </c>
      <c r="I398" s="567">
        <f t="shared" si="10"/>
        <v>0</v>
      </c>
    </row>
    <row r="399" spans="1:9" x14ac:dyDescent="0.15">
      <c r="A399" s="138"/>
      <c r="B399" s="521" t="s">
        <v>630</v>
      </c>
      <c r="C399" s="138" t="s">
        <v>172</v>
      </c>
      <c r="D399" s="144">
        <v>0</v>
      </c>
      <c r="E399" s="144">
        <v>0</v>
      </c>
      <c r="F399" s="144">
        <v>0</v>
      </c>
      <c r="G399" s="291">
        <v>0</v>
      </c>
      <c r="H399" s="150">
        <v>0</v>
      </c>
      <c r="I399" s="567">
        <f t="shared" si="10"/>
        <v>0</v>
      </c>
    </row>
    <row r="400" spans="1:9" x14ac:dyDescent="0.15">
      <c r="A400" s="138"/>
      <c r="B400" s="650" t="s">
        <v>631</v>
      </c>
      <c r="C400" s="651" t="s">
        <v>173</v>
      </c>
      <c r="D400" s="144">
        <v>0</v>
      </c>
      <c r="E400" s="144">
        <v>0</v>
      </c>
      <c r="F400" s="144">
        <v>0</v>
      </c>
      <c r="G400" s="291">
        <v>0</v>
      </c>
      <c r="H400" s="150">
        <v>0</v>
      </c>
      <c r="I400" s="567">
        <f t="shared" si="10"/>
        <v>0</v>
      </c>
    </row>
    <row r="401" spans="1:10" x14ac:dyDescent="0.15">
      <c r="A401" s="138"/>
      <c r="B401" s="521" t="s">
        <v>1584</v>
      </c>
      <c r="C401" s="138" t="s">
        <v>178</v>
      </c>
      <c r="D401" s="144">
        <v>0</v>
      </c>
      <c r="E401" s="144">
        <v>0</v>
      </c>
      <c r="F401" s="144">
        <v>0</v>
      </c>
      <c r="G401" s="291">
        <v>0</v>
      </c>
      <c r="H401" s="150">
        <v>0</v>
      </c>
      <c r="I401" s="567">
        <f t="shared" si="10"/>
        <v>0</v>
      </c>
    </row>
    <row r="402" spans="1:10" x14ac:dyDescent="0.15">
      <c r="A402" s="138"/>
      <c r="B402" s="521" t="s">
        <v>174</v>
      </c>
      <c r="C402" s="138" t="s">
        <v>179</v>
      </c>
      <c r="D402" s="144">
        <v>0</v>
      </c>
      <c r="E402" s="144">
        <v>0</v>
      </c>
      <c r="F402" s="144">
        <v>0</v>
      </c>
      <c r="G402" s="291">
        <v>0</v>
      </c>
      <c r="H402" s="150">
        <v>0</v>
      </c>
      <c r="I402" s="567">
        <f t="shared" si="10"/>
        <v>0</v>
      </c>
    </row>
    <row r="403" spans="1:10" x14ac:dyDescent="0.15">
      <c r="A403" s="138"/>
      <c r="B403" s="521" t="s">
        <v>175</v>
      </c>
      <c r="C403" s="138" t="s">
        <v>180</v>
      </c>
      <c r="D403" s="144">
        <v>0</v>
      </c>
      <c r="E403" s="144">
        <v>0</v>
      </c>
      <c r="F403" s="144">
        <v>0</v>
      </c>
      <c r="G403" s="291">
        <v>0</v>
      </c>
      <c r="H403" s="150">
        <v>0</v>
      </c>
      <c r="I403" s="567">
        <f t="shared" si="10"/>
        <v>0</v>
      </c>
    </row>
    <row r="404" spans="1:10" ht="11.25" thickBot="1" x14ac:dyDescent="0.2">
      <c r="A404" s="138"/>
      <c r="B404" s="521" t="s">
        <v>176</v>
      </c>
      <c r="C404" s="138" t="s">
        <v>181</v>
      </c>
      <c r="D404" s="144">
        <v>0</v>
      </c>
      <c r="E404" s="144">
        <v>0</v>
      </c>
      <c r="F404" s="144">
        <v>0</v>
      </c>
      <c r="G404" s="291">
        <v>0</v>
      </c>
      <c r="H404" s="150">
        <v>0</v>
      </c>
      <c r="I404" s="567">
        <f t="shared" si="10"/>
        <v>0</v>
      </c>
    </row>
    <row r="405" spans="1:10" ht="12" thickTop="1" thickBot="1" x14ac:dyDescent="0.2">
      <c r="A405" s="138"/>
      <c r="B405" s="521"/>
      <c r="C405" s="138" t="s">
        <v>237</v>
      </c>
      <c r="D405" s="169">
        <f>SUM(D371:D404)</f>
        <v>0</v>
      </c>
      <c r="E405" s="169">
        <f>SUM(E371:E404)</f>
        <v>0</v>
      </c>
      <c r="F405" s="169">
        <f>SUM(F371:F404)</f>
        <v>0</v>
      </c>
      <c r="G405" s="169">
        <f>SUM(G371:G404)</f>
        <v>0</v>
      </c>
      <c r="H405" s="169">
        <f>SUM(H371:H404)</f>
        <v>0</v>
      </c>
      <c r="I405" s="169">
        <f t="shared" si="10"/>
        <v>0</v>
      </c>
    </row>
    <row r="406" spans="1:10" ht="11.25" thickTop="1" x14ac:dyDescent="0.15">
      <c r="A406" s="138"/>
      <c r="B406" s="138"/>
      <c r="C406" s="138"/>
      <c r="D406" s="14"/>
      <c r="E406" s="14"/>
      <c r="F406" s="14"/>
      <c r="G406" s="14"/>
      <c r="H406" s="14"/>
      <c r="I406" s="563"/>
    </row>
    <row r="407" spans="1:10" x14ac:dyDescent="0.15">
      <c r="A407" s="522" t="s">
        <v>240</v>
      </c>
      <c r="B407" s="138"/>
      <c r="C407" s="138"/>
      <c r="D407" s="14"/>
      <c r="E407" s="14"/>
      <c r="F407" s="14"/>
      <c r="G407" s="14"/>
      <c r="H407" s="14"/>
      <c r="I407" s="563"/>
    </row>
    <row r="408" spans="1:10" s="434" customFormat="1" x14ac:dyDescent="0.15">
      <c r="B408" s="523" t="s">
        <v>1577</v>
      </c>
      <c r="C408" s="524" t="s">
        <v>228</v>
      </c>
      <c r="D408" s="316">
        <v>0</v>
      </c>
      <c r="E408" s="316">
        <v>0</v>
      </c>
      <c r="F408" s="316">
        <v>0</v>
      </c>
      <c r="G408" s="528">
        <f t="array" ref="G408">SUM(IF(CertFund&amp;CertProg&amp;CertObj=RIGHT(LEFT($A$2,7),2)&amp;LEFT(A407,4)&amp;B408,CertSalary))</f>
        <v>0</v>
      </c>
      <c r="H408" s="527">
        <v>0</v>
      </c>
      <c r="I408" s="566">
        <f t="shared" ref="I408:I442" si="11">SUM(G408+H408)</f>
        <v>0</v>
      </c>
    </row>
    <row r="409" spans="1:10" s="434" customFormat="1" x14ac:dyDescent="0.15">
      <c r="B409" s="523" t="s">
        <v>1577</v>
      </c>
      <c r="C409" s="524" t="s">
        <v>510</v>
      </c>
      <c r="D409" s="316">
        <v>0</v>
      </c>
      <c r="E409" s="316">
        <v>0</v>
      </c>
      <c r="F409" s="316">
        <v>0</v>
      </c>
      <c r="G409" s="316">
        <v>0</v>
      </c>
      <c r="H409" s="527">
        <v>0</v>
      </c>
      <c r="I409" s="566">
        <f t="shared" si="11"/>
        <v>0</v>
      </c>
    </row>
    <row r="410" spans="1:10" s="434" customFormat="1" x14ac:dyDescent="0.15">
      <c r="A410" s="524"/>
      <c r="B410" s="523" t="s">
        <v>1578</v>
      </c>
      <c r="C410" s="524" t="s">
        <v>936</v>
      </c>
      <c r="D410" s="316">
        <v>0</v>
      </c>
      <c r="E410" s="316">
        <v>0</v>
      </c>
      <c r="F410" s="316">
        <v>0</v>
      </c>
      <c r="G410" s="529">
        <f t="array" ref="G410">SUM(IF(CertFund&amp;CertProg&amp;CertObj=RIGHT(LEFT($A$2,7),2)&amp;LEFT(A407,4)&amp;B408,CertBen))</f>
        <v>0</v>
      </c>
      <c r="H410" s="527">
        <v>0</v>
      </c>
      <c r="I410" s="566">
        <f t="shared" si="11"/>
        <v>0</v>
      </c>
    </row>
    <row r="411" spans="1:10" x14ac:dyDescent="0.15">
      <c r="A411" s="138"/>
      <c r="B411" s="521" t="s">
        <v>1578</v>
      </c>
      <c r="C411" s="138" t="s">
        <v>511</v>
      </c>
      <c r="D411" s="147">
        <v>0</v>
      </c>
      <c r="E411" s="147">
        <v>0</v>
      </c>
      <c r="F411" s="147">
        <v>0</v>
      </c>
      <c r="G411" s="147">
        <v>0</v>
      </c>
      <c r="H411" s="150">
        <v>0</v>
      </c>
      <c r="I411" s="567">
        <f t="shared" si="11"/>
        <v>0</v>
      </c>
      <c r="J411" s="434"/>
    </row>
    <row r="412" spans="1:10" x14ac:dyDescent="0.15">
      <c r="A412" s="138"/>
      <c r="B412" s="521" t="s">
        <v>1579</v>
      </c>
      <c r="C412" s="138" t="s">
        <v>118</v>
      </c>
      <c r="D412" s="144">
        <v>0</v>
      </c>
      <c r="E412" s="144">
        <v>0</v>
      </c>
      <c r="F412" s="144">
        <v>0</v>
      </c>
      <c r="G412" s="291">
        <v>0</v>
      </c>
      <c r="H412" s="150">
        <v>0</v>
      </c>
      <c r="I412" s="567">
        <f t="shared" si="11"/>
        <v>0</v>
      </c>
    </row>
    <row r="413" spans="1:10" x14ac:dyDescent="0.15">
      <c r="A413" s="138"/>
      <c r="B413" s="521" t="s">
        <v>1580</v>
      </c>
      <c r="C413" s="138" t="s">
        <v>119</v>
      </c>
      <c r="D413" s="144">
        <v>0</v>
      </c>
      <c r="E413" s="144">
        <v>0</v>
      </c>
      <c r="F413" s="144">
        <v>0</v>
      </c>
      <c r="G413" s="291">
        <v>0</v>
      </c>
      <c r="H413" s="150">
        <v>0</v>
      </c>
      <c r="I413" s="567">
        <f t="shared" si="11"/>
        <v>0</v>
      </c>
    </row>
    <row r="414" spans="1:10" x14ac:dyDescent="0.15">
      <c r="A414" s="138"/>
      <c r="B414" s="521" t="s">
        <v>120</v>
      </c>
      <c r="C414" s="138" t="s">
        <v>121</v>
      </c>
      <c r="D414" s="144">
        <v>0</v>
      </c>
      <c r="E414" s="144">
        <v>0</v>
      </c>
      <c r="F414" s="144">
        <v>0</v>
      </c>
      <c r="G414" s="291">
        <v>0</v>
      </c>
      <c r="H414" s="150">
        <v>0</v>
      </c>
      <c r="I414" s="567">
        <f t="shared" si="11"/>
        <v>0</v>
      </c>
    </row>
    <row r="415" spans="1:10" x14ac:dyDescent="0.15">
      <c r="A415" s="138"/>
      <c r="B415" s="521" t="s">
        <v>122</v>
      </c>
      <c r="C415" s="138" t="s">
        <v>123</v>
      </c>
      <c r="D415" s="144">
        <v>0</v>
      </c>
      <c r="E415" s="144">
        <v>0</v>
      </c>
      <c r="F415" s="144">
        <v>0</v>
      </c>
      <c r="G415" s="291">
        <v>0</v>
      </c>
      <c r="H415" s="150">
        <v>0</v>
      </c>
      <c r="I415" s="567">
        <f t="shared" si="11"/>
        <v>0</v>
      </c>
    </row>
    <row r="416" spans="1:10" x14ac:dyDescent="0.15">
      <c r="A416" s="138"/>
      <c r="B416" s="521" t="s">
        <v>1581</v>
      </c>
      <c r="C416" s="138" t="s">
        <v>124</v>
      </c>
      <c r="D416" s="144">
        <v>0</v>
      </c>
      <c r="E416" s="144">
        <v>0</v>
      </c>
      <c r="F416" s="144">
        <v>0</v>
      </c>
      <c r="G416" s="291">
        <v>0</v>
      </c>
      <c r="H416" s="150">
        <v>0</v>
      </c>
      <c r="I416" s="567">
        <f t="shared" si="11"/>
        <v>0</v>
      </c>
    </row>
    <row r="417" spans="1:9" x14ac:dyDescent="0.15">
      <c r="A417" s="138"/>
      <c r="B417" s="521" t="s">
        <v>127</v>
      </c>
      <c r="C417" s="138" t="s">
        <v>134</v>
      </c>
      <c r="D417" s="144">
        <v>0</v>
      </c>
      <c r="E417" s="144">
        <v>0</v>
      </c>
      <c r="F417" s="144">
        <v>0</v>
      </c>
      <c r="G417" s="291">
        <v>0</v>
      </c>
      <c r="H417" s="150">
        <v>0</v>
      </c>
      <c r="I417" s="567">
        <f t="shared" si="11"/>
        <v>0</v>
      </c>
    </row>
    <row r="418" spans="1:9" x14ac:dyDescent="0.15">
      <c r="A418" s="138"/>
      <c r="B418" s="521" t="s">
        <v>128</v>
      </c>
      <c r="C418" s="138" t="s">
        <v>135</v>
      </c>
      <c r="D418" s="144">
        <v>0</v>
      </c>
      <c r="E418" s="144">
        <v>0</v>
      </c>
      <c r="F418" s="144">
        <v>0</v>
      </c>
      <c r="G418" s="291">
        <v>0</v>
      </c>
      <c r="H418" s="150">
        <v>0</v>
      </c>
      <c r="I418" s="567">
        <f t="shared" si="11"/>
        <v>0</v>
      </c>
    </row>
    <row r="419" spans="1:9" x14ac:dyDescent="0.15">
      <c r="A419" s="138"/>
      <c r="B419" s="521" t="s">
        <v>132</v>
      </c>
      <c r="C419" s="138" t="s">
        <v>1617</v>
      </c>
      <c r="D419" s="144">
        <v>0</v>
      </c>
      <c r="E419" s="144">
        <v>0</v>
      </c>
      <c r="F419" s="144">
        <v>0</v>
      </c>
      <c r="G419" s="291">
        <v>0</v>
      </c>
      <c r="H419" s="150">
        <v>0</v>
      </c>
      <c r="I419" s="567">
        <f t="shared" si="11"/>
        <v>0</v>
      </c>
    </row>
    <row r="420" spans="1:9" x14ac:dyDescent="0.15">
      <c r="A420" s="138"/>
      <c r="B420" s="521" t="s">
        <v>1618</v>
      </c>
      <c r="C420" s="138" t="s">
        <v>836</v>
      </c>
      <c r="D420" s="144">
        <v>0</v>
      </c>
      <c r="E420" s="144">
        <v>0</v>
      </c>
      <c r="F420" s="144">
        <v>0</v>
      </c>
      <c r="G420" s="291">
        <v>0</v>
      </c>
      <c r="H420" s="150">
        <v>0</v>
      </c>
      <c r="I420" s="567">
        <f t="shared" si="11"/>
        <v>0</v>
      </c>
    </row>
    <row r="421" spans="1:9" x14ac:dyDescent="0.15">
      <c r="A421" s="138"/>
      <c r="B421" s="521" t="s">
        <v>1619</v>
      </c>
      <c r="C421" s="138" t="s">
        <v>837</v>
      </c>
      <c r="D421" s="144">
        <v>0</v>
      </c>
      <c r="E421" s="144">
        <v>0</v>
      </c>
      <c r="F421" s="144">
        <v>0</v>
      </c>
      <c r="G421" s="291">
        <v>0</v>
      </c>
      <c r="H421" s="150">
        <v>0</v>
      </c>
      <c r="I421" s="567">
        <f t="shared" si="11"/>
        <v>0</v>
      </c>
    </row>
    <row r="422" spans="1:9" x14ac:dyDescent="0.15">
      <c r="A422" s="138"/>
      <c r="B422" s="521" t="s">
        <v>1620</v>
      </c>
      <c r="C422" s="138" t="s">
        <v>838</v>
      </c>
      <c r="D422" s="144">
        <v>0</v>
      </c>
      <c r="E422" s="144">
        <v>0</v>
      </c>
      <c r="F422" s="144">
        <v>0</v>
      </c>
      <c r="G422" s="291">
        <v>0</v>
      </c>
      <c r="H422" s="150">
        <v>0</v>
      </c>
      <c r="I422" s="567">
        <f t="shared" si="11"/>
        <v>0</v>
      </c>
    </row>
    <row r="423" spans="1:9" x14ac:dyDescent="0.15">
      <c r="A423" s="138"/>
      <c r="B423" s="521" t="s">
        <v>1621</v>
      </c>
      <c r="C423" s="138" t="s">
        <v>839</v>
      </c>
      <c r="D423" s="144">
        <v>0</v>
      </c>
      <c r="E423" s="144">
        <v>0</v>
      </c>
      <c r="F423" s="144">
        <v>0</v>
      </c>
      <c r="G423" s="291">
        <v>0</v>
      </c>
      <c r="H423" s="150">
        <v>0</v>
      </c>
      <c r="I423" s="567">
        <f t="shared" si="11"/>
        <v>0</v>
      </c>
    </row>
    <row r="424" spans="1:9" x14ac:dyDescent="0.15">
      <c r="A424" s="138"/>
      <c r="B424" s="521" t="s">
        <v>1622</v>
      </c>
      <c r="C424" s="138" t="s">
        <v>190</v>
      </c>
      <c r="D424" s="144">
        <v>0</v>
      </c>
      <c r="E424" s="144">
        <v>0</v>
      </c>
      <c r="F424" s="144">
        <v>0</v>
      </c>
      <c r="G424" s="291">
        <v>0</v>
      </c>
      <c r="H424" s="150">
        <v>0</v>
      </c>
      <c r="I424" s="567">
        <f t="shared" si="11"/>
        <v>0</v>
      </c>
    </row>
    <row r="425" spans="1:9" x14ac:dyDescent="0.15">
      <c r="A425" s="138"/>
      <c r="B425" s="521" t="s">
        <v>1623</v>
      </c>
      <c r="C425" s="138" t="s">
        <v>191</v>
      </c>
      <c r="D425" s="144">
        <v>0</v>
      </c>
      <c r="E425" s="144">
        <v>0</v>
      </c>
      <c r="F425" s="144">
        <v>0</v>
      </c>
      <c r="G425" s="291">
        <v>0</v>
      </c>
      <c r="H425" s="150">
        <v>0</v>
      </c>
      <c r="I425" s="567">
        <f t="shared" si="11"/>
        <v>0</v>
      </c>
    </row>
    <row r="426" spans="1:9" x14ac:dyDescent="0.15">
      <c r="A426" s="138"/>
      <c r="B426" s="521" t="s">
        <v>1624</v>
      </c>
      <c r="C426" s="138" t="s">
        <v>840</v>
      </c>
      <c r="D426" s="144">
        <v>0</v>
      </c>
      <c r="E426" s="144">
        <v>0</v>
      </c>
      <c r="F426" s="144">
        <v>0</v>
      </c>
      <c r="G426" s="291">
        <v>0</v>
      </c>
      <c r="H426" s="150">
        <v>0</v>
      </c>
      <c r="I426" s="567">
        <f t="shared" si="11"/>
        <v>0</v>
      </c>
    </row>
    <row r="427" spans="1:9" x14ac:dyDescent="0.15">
      <c r="A427" s="138"/>
      <c r="B427" s="521" t="s">
        <v>1625</v>
      </c>
      <c r="C427" s="138" t="s">
        <v>842</v>
      </c>
      <c r="D427" s="144">
        <v>0</v>
      </c>
      <c r="E427" s="144">
        <v>0</v>
      </c>
      <c r="F427" s="144">
        <v>0</v>
      </c>
      <c r="G427" s="291">
        <v>0</v>
      </c>
      <c r="H427" s="150">
        <v>0</v>
      </c>
      <c r="I427" s="567">
        <f t="shared" si="11"/>
        <v>0</v>
      </c>
    </row>
    <row r="428" spans="1:9" x14ac:dyDescent="0.15">
      <c r="A428" s="138"/>
      <c r="B428" s="521" t="s">
        <v>843</v>
      </c>
      <c r="C428" s="138" t="s">
        <v>848</v>
      </c>
      <c r="D428" s="144">
        <v>0</v>
      </c>
      <c r="E428" s="144">
        <v>0</v>
      </c>
      <c r="F428" s="144">
        <v>0</v>
      </c>
      <c r="G428" s="291">
        <v>0</v>
      </c>
      <c r="H428" s="150">
        <v>0</v>
      </c>
      <c r="I428" s="567">
        <f t="shared" si="11"/>
        <v>0</v>
      </c>
    </row>
    <row r="429" spans="1:9" x14ac:dyDescent="0.15">
      <c r="A429" s="138"/>
      <c r="B429" s="521" t="s">
        <v>844</v>
      </c>
      <c r="C429" s="138" t="s">
        <v>153</v>
      </c>
      <c r="D429" s="144">
        <v>0</v>
      </c>
      <c r="E429" s="144">
        <v>0</v>
      </c>
      <c r="F429" s="144">
        <v>0</v>
      </c>
      <c r="G429" s="291">
        <v>0</v>
      </c>
      <c r="H429" s="150">
        <v>0</v>
      </c>
      <c r="I429" s="567">
        <f t="shared" si="11"/>
        <v>0</v>
      </c>
    </row>
    <row r="430" spans="1:9" x14ac:dyDescent="0.15">
      <c r="A430" s="138"/>
      <c r="B430" s="521" t="s">
        <v>845</v>
      </c>
      <c r="C430" s="138" t="s">
        <v>154</v>
      </c>
      <c r="D430" s="144">
        <v>0</v>
      </c>
      <c r="E430" s="144">
        <v>0</v>
      </c>
      <c r="F430" s="144">
        <v>0</v>
      </c>
      <c r="G430" s="291">
        <v>0</v>
      </c>
      <c r="H430" s="150">
        <v>0</v>
      </c>
      <c r="I430" s="567">
        <f t="shared" si="11"/>
        <v>0</v>
      </c>
    </row>
    <row r="431" spans="1:9" x14ac:dyDescent="0.15">
      <c r="A431" s="138"/>
      <c r="B431" s="521" t="s">
        <v>846</v>
      </c>
      <c r="C431" s="138" t="s">
        <v>155</v>
      </c>
      <c r="D431" s="144">
        <v>0</v>
      </c>
      <c r="E431" s="144">
        <v>0</v>
      </c>
      <c r="F431" s="144">
        <v>0</v>
      </c>
      <c r="G431" s="291">
        <v>0</v>
      </c>
      <c r="H431" s="150">
        <v>0</v>
      </c>
      <c r="I431" s="567">
        <f t="shared" si="11"/>
        <v>0</v>
      </c>
    </row>
    <row r="432" spans="1:9" x14ac:dyDescent="0.15">
      <c r="A432" s="138"/>
      <c r="B432" s="521" t="s">
        <v>1582</v>
      </c>
      <c r="C432" s="138" t="s">
        <v>156</v>
      </c>
      <c r="D432" s="144">
        <v>0</v>
      </c>
      <c r="E432" s="144">
        <v>0</v>
      </c>
      <c r="F432" s="144">
        <v>0</v>
      </c>
      <c r="G432" s="291">
        <v>0</v>
      </c>
      <c r="H432" s="150">
        <v>0</v>
      </c>
      <c r="I432" s="567">
        <f t="shared" si="11"/>
        <v>0</v>
      </c>
    </row>
    <row r="433" spans="1:10" x14ac:dyDescent="0.15">
      <c r="A433" s="138"/>
      <c r="B433" s="521" t="s">
        <v>847</v>
      </c>
      <c r="C433" s="138" t="s">
        <v>157</v>
      </c>
      <c r="D433" s="144">
        <v>0</v>
      </c>
      <c r="E433" s="144">
        <v>0</v>
      </c>
      <c r="F433" s="144">
        <v>0</v>
      </c>
      <c r="G433" s="291">
        <v>0</v>
      </c>
      <c r="H433" s="150">
        <v>0</v>
      </c>
      <c r="I433" s="567">
        <f t="shared" si="11"/>
        <v>0</v>
      </c>
    </row>
    <row r="434" spans="1:10" x14ac:dyDescent="0.15">
      <c r="A434" s="138"/>
      <c r="B434" s="521" t="s">
        <v>1583</v>
      </c>
      <c r="C434" s="138" t="s">
        <v>160</v>
      </c>
      <c r="D434" s="144">
        <v>0</v>
      </c>
      <c r="E434" s="144">
        <v>0</v>
      </c>
      <c r="F434" s="144">
        <v>0</v>
      </c>
      <c r="G434" s="291">
        <v>0</v>
      </c>
      <c r="H434" s="150">
        <v>0</v>
      </c>
      <c r="I434" s="567">
        <f t="shared" si="11"/>
        <v>0</v>
      </c>
    </row>
    <row r="435" spans="1:10" x14ac:dyDescent="0.15">
      <c r="A435" s="138"/>
      <c r="B435" s="521" t="s">
        <v>634</v>
      </c>
      <c r="C435" s="138" t="s">
        <v>165</v>
      </c>
      <c r="D435" s="144">
        <v>0</v>
      </c>
      <c r="E435" s="144">
        <v>0</v>
      </c>
      <c r="F435" s="144">
        <v>0</v>
      </c>
      <c r="G435" s="291">
        <v>0</v>
      </c>
      <c r="H435" s="150">
        <v>0</v>
      </c>
      <c r="I435" s="567">
        <f t="shared" si="11"/>
        <v>0</v>
      </c>
    </row>
    <row r="436" spans="1:10" x14ac:dyDescent="0.15">
      <c r="A436" s="138"/>
      <c r="B436" s="521" t="s">
        <v>630</v>
      </c>
      <c r="C436" s="138" t="s">
        <v>172</v>
      </c>
      <c r="D436" s="144">
        <v>0</v>
      </c>
      <c r="E436" s="144">
        <v>0</v>
      </c>
      <c r="F436" s="144">
        <v>0</v>
      </c>
      <c r="G436" s="291">
        <v>0</v>
      </c>
      <c r="H436" s="150">
        <v>0</v>
      </c>
      <c r="I436" s="567">
        <f t="shared" si="11"/>
        <v>0</v>
      </c>
    </row>
    <row r="437" spans="1:10" x14ac:dyDescent="0.15">
      <c r="A437" s="138"/>
      <c r="B437" s="650" t="s">
        <v>631</v>
      </c>
      <c r="C437" s="651" t="s">
        <v>173</v>
      </c>
      <c r="D437" s="144">
        <v>0</v>
      </c>
      <c r="E437" s="144">
        <v>0</v>
      </c>
      <c r="F437" s="144">
        <v>0</v>
      </c>
      <c r="G437" s="291">
        <v>0</v>
      </c>
      <c r="H437" s="150">
        <v>0</v>
      </c>
      <c r="I437" s="567">
        <f t="shared" si="11"/>
        <v>0</v>
      </c>
    </row>
    <row r="438" spans="1:10" x14ac:dyDescent="0.15">
      <c r="A438" s="138"/>
      <c r="B438" s="521" t="s">
        <v>1584</v>
      </c>
      <c r="C438" s="138" t="s">
        <v>178</v>
      </c>
      <c r="D438" s="144">
        <v>0</v>
      </c>
      <c r="E438" s="144">
        <v>0</v>
      </c>
      <c r="F438" s="144">
        <v>0</v>
      </c>
      <c r="G438" s="291">
        <v>0</v>
      </c>
      <c r="H438" s="150">
        <v>0</v>
      </c>
      <c r="I438" s="567">
        <f t="shared" si="11"/>
        <v>0</v>
      </c>
    </row>
    <row r="439" spans="1:10" x14ac:dyDescent="0.15">
      <c r="A439" s="138"/>
      <c r="B439" s="521" t="s">
        <v>174</v>
      </c>
      <c r="C439" s="138" t="s">
        <v>179</v>
      </c>
      <c r="D439" s="144">
        <v>0</v>
      </c>
      <c r="E439" s="144">
        <v>0</v>
      </c>
      <c r="F439" s="144">
        <v>0</v>
      </c>
      <c r="G439" s="291">
        <v>0</v>
      </c>
      <c r="H439" s="150">
        <v>0</v>
      </c>
      <c r="I439" s="567">
        <f t="shared" si="11"/>
        <v>0</v>
      </c>
    </row>
    <row r="440" spans="1:10" x14ac:dyDescent="0.15">
      <c r="A440" s="138"/>
      <c r="B440" s="521" t="s">
        <v>175</v>
      </c>
      <c r="C440" s="138" t="s">
        <v>180</v>
      </c>
      <c r="D440" s="144">
        <v>0</v>
      </c>
      <c r="E440" s="144">
        <v>0</v>
      </c>
      <c r="F440" s="144">
        <v>0</v>
      </c>
      <c r="G440" s="291">
        <v>0</v>
      </c>
      <c r="H440" s="150">
        <v>0</v>
      </c>
      <c r="I440" s="567">
        <f t="shared" si="11"/>
        <v>0</v>
      </c>
    </row>
    <row r="441" spans="1:10" ht="11.25" thickBot="1" x14ac:dyDescent="0.2">
      <c r="A441" s="138"/>
      <c r="B441" s="521" t="s">
        <v>176</v>
      </c>
      <c r="C441" s="138" t="s">
        <v>181</v>
      </c>
      <c r="D441" s="144">
        <v>0</v>
      </c>
      <c r="E441" s="144">
        <v>0</v>
      </c>
      <c r="F441" s="144">
        <v>0</v>
      </c>
      <c r="G441" s="291">
        <v>0</v>
      </c>
      <c r="H441" s="150">
        <v>0</v>
      </c>
      <c r="I441" s="567">
        <f t="shared" si="11"/>
        <v>0</v>
      </c>
    </row>
    <row r="442" spans="1:10" ht="12" thickTop="1" thickBot="1" x14ac:dyDescent="0.2">
      <c r="A442" s="138"/>
      <c r="B442" s="521"/>
      <c r="C442" s="138" t="s">
        <v>241</v>
      </c>
      <c r="D442" s="169">
        <f>SUM(D408:D441)</f>
        <v>0</v>
      </c>
      <c r="E442" s="169">
        <f>SUM(E408:E441)</f>
        <v>0</v>
      </c>
      <c r="F442" s="169">
        <f>SUM(F408:F441)</f>
        <v>0</v>
      </c>
      <c r="G442" s="169">
        <f>SUM(G408:G441)</f>
        <v>0</v>
      </c>
      <c r="H442" s="169">
        <f>SUM(H408:H441)</f>
        <v>0</v>
      </c>
      <c r="I442" s="169">
        <f t="shared" si="11"/>
        <v>0</v>
      </c>
    </row>
    <row r="443" spans="1:10" ht="11.25" thickTop="1" x14ac:dyDescent="0.15">
      <c r="A443" s="138"/>
      <c r="B443" s="138"/>
      <c r="C443" s="138"/>
      <c r="D443" s="14"/>
      <c r="E443" s="14"/>
      <c r="F443" s="14"/>
      <c r="G443" s="14"/>
      <c r="H443" s="14"/>
      <c r="I443" s="563"/>
    </row>
    <row r="444" spans="1:10" x14ac:dyDescent="0.15">
      <c r="A444" s="522" t="s">
        <v>242</v>
      </c>
      <c r="B444" s="138"/>
      <c r="C444" s="138"/>
      <c r="D444" s="14"/>
      <c r="E444" s="14"/>
      <c r="F444" s="14"/>
      <c r="G444" s="14"/>
      <c r="H444" s="14"/>
      <c r="I444" s="563"/>
    </row>
    <row r="445" spans="1:10" s="434" customFormat="1" x14ac:dyDescent="0.15">
      <c r="B445" s="523" t="s">
        <v>1577</v>
      </c>
      <c r="C445" s="524" t="s">
        <v>228</v>
      </c>
      <c r="D445" s="316">
        <v>0</v>
      </c>
      <c r="E445" s="316">
        <v>0</v>
      </c>
      <c r="F445" s="316">
        <v>0</v>
      </c>
      <c r="G445" s="528">
        <f t="array" ref="G445">SUM(IF(CertFund&amp;CertProg&amp;CertObj=RIGHT(LEFT($A$2,7),2)&amp;LEFT(A444,4)&amp;B445,CertSalary))</f>
        <v>0</v>
      </c>
      <c r="H445" s="527">
        <v>0</v>
      </c>
      <c r="I445" s="566">
        <f t="shared" ref="I445:I479" si="12">SUM(G445+H445)</f>
        <v>0</v>
      </c>
    </row>
    <row r="446" spans="1:10" s="434" customFormat="1" x14ac:dyDescent="0.15">
      <c r="B446" s="523" t="s">
        <v>1577</v>
      </c>
      <c r="C446" s="524" t="s">
        <v>510</v>
      </c>
      <c r="D446" s="316">
        <v>0</v>
      </c>
      <c r="E446" s="316">
        <v>0</v>
      </c>
      <c r="F446" s="316">
        <v>0</v>
      </c>
      <c r="G446" s="316">
        <v>0</v>
      </c>
      <c r="H446" s="527">
        <v>0</v>
      </c>
      <c r="I446" s="566">
        <f t="shared" si="12"/>
        <v>0</v>
      </c>
    </row>
    <row r="447" spans="1:10" s="434" customFormat="1" x14ac:dyDescent="0.15">
      <c r="A447" s="524"/>
      <c r="B447" s="523" t="s">
        <v>1578</v>
      </c>
      <c r="C447" s="524" t="s">
        <v>936</v>
      </c>
      <c r="D447" s="316">
        <v>0</v>
      </c>
      <c r="E447" s="316">
        <v>0</v>
      </c>
      <c r="F447" s="316">
        <v>0</v>
      </c>
      <c r="G447" s="529">
        <f t="array" ref="G447">SUM(IF(CertFund&amp;CertProg&amp;CertObj=RIGHT(LEFT($A$2,7),2)&amp;LEFT(A444,4)&amp;B445,CertBen))</f>
        <v>0</v>
      </c>
      <c r="H447" s="527">
        <v>0</v>
      </c>
      <c r="I447" s="566">
        <f t="shared" si="12"/>
        <v>0</v>
      </c>
    </row>
    <row r="448" spans="1:10" x14ac:dyDescent="0.15">
      <c r="A448" s="138"/>
      <c r="B448" s="521" t="s">
        <v>1578</v>
      </c>
      <c r="C448" s="138" t="s">
        <v>511</v>
      </c>
      <c r="D448" s="147">
        <v>0</v>
      </c>
      <c r="E448" s="147">
        <v>0</v>
      </c>
      <c r="F448" s="147">
        <v>0</v>
      </c>
      <c r="G448" s="147">
        <v>0</v>
      </c>
      <c r="H448" s="150">
        <v>0</v>
      </c>
      <c r="I448" s="567">
        <f t="shared" si="12"/>
        <v>0</v>
      </c>
      <c r="J448" s="434"/>
    </row>
    <row r="449" spans="1:9" x14ac:dyDescent="0.15">
      <c r="A449" s="138"/>
      <c r="B449" s="521" t="s">
        <v>1579</v>
      </c>
      <c r="C449" s="138" t="s">
        <v>118</v>
      </c>
      <c r="D449" s="144">
        <v>0</v>
      </c>
      <c r="E449" s="144">
        <v>0</v>
      </c>
      <c r="F449" s="144">
        <v>0</v>
      </c>
      <c r="G449" s="291">
        <v>0</v>
      </c>
      <c r="H449" s="150">
        <v>0</v>
      </c>
      <c r="I449" s="567">
        <f t="shared" si="12"/>
        <v>0</v>
      </c>
    </row>
    <row r="450" spans="1:9" x14ac:dyDescent="0.15">
      <c r="A450" s="138"/>
      <c r="B450" s="521" t="s">
        <v>1580</v>
      </c>
      <c r="C450" s="138" t="s">
        <v>119</v>
      </c>
      <c r="D450" s="144">
        <v>0</v>
      </c>
      <c r="E450" s="144">
        <v>0</v>
      </c>
      <c r="F450" s="144">
        <v>0</v>
      </c>
      <c r="G450" s="291">
        <v>0</v>
      </c>
      <c r="H450" s="150">
        <v>0</v>
      </c>
      <c r="I450" s="567">
        <f t="shared" si="12"/>
        <v>0</v>
      </c>
    </row>
    <row r="451" spans="1:9" x14ac:dyDescent="0.15">
      <c r="A451" s="138"/>
      <c r="B451" s="521" t="s">
        <v>120</v>
      </c>
      <c r="C451" s="138" t="s">
        <v>121</v>
      </c>
      <c r="D451" s="144">
        <v>0</v>
      </c>
      <c r="E451" s="144">
        <v>0</v>
      </c>
      <c r="F451" s="144">
        <v>0</v>
      </c>
      <c r="G451" s="291">
        <v>0</v>
      </c>
      <c r="H451" s="150">
        <v>0</v>
      </c>
      <c r="I451" s="567">
        <f t="shared" si="12"/>
        <v>0</v>
      </c>
    </row>
    <row r="452" spans="1:9" x14ac:dyDescent="0.15">
      <c r="A452" s="138"/>
      <c r="B452" s="521" t="s">
        <v>122</v>
      </c>
      <c r="C452" s="138" t="s">
        <v>123</v>
      </c>
      <c r="D452" s="144">
        <v>0</v>
      </c>
      <c r="E452" s="144">
        <v>0</v>
      </c>
      <c r="F452" s="144">
        <v>0</v>
      </c>
      <c r="G452" s="291">
        <v>0</v>
      </c>
      <c r="H452" s="150">
        <v>0</v>
      </c>
      <c r="I452" s="567">
        <f t="shared" si="12"/>
        <v>0</v>
      </c>
    </row>
    <row r="453" spans="1:9" x14ac:dyDescent="0.15">
      <c r="A453" s="138"/>
      <c r="B453" s="521" t="s">
        <v>1581</v>
      </c>
      <c r="C453" s="138" t="s">
        <v>124</v>
      </c>
      <c r="D453" s="144">
        <v>0</v>
      </c>
      <c r="E453" s="144">
        <v>0</v>
      </c>
      <c r="F453" s="144">
        <v>0</v>
      </c>
      <c r="G453" s="291">
        <v>0</v>
      </c>
      <c r="H453" s="150">
        <v>0</v>
      </c>
      <c r="I453" s="567">
        <f t="shared" si="12"/>
        <v>0</v>
      </c>
    </row>
    <row r="454" spans="1:9" x14ac:dyDescent="0.15">
      <c r="A454" s="138"/>
      <c r="B454" s="521" t="s">
        <v>127</v>
      </c>
      <c r="C454" s="138" t="s">
        <v>134</v>
      </c>
      <c r="D454" s="144">
        <v>0</v>
      </c>
      <c r="E454" s="144">
        <v>0</v>
      </c>
      <c r="F454" s="144">
        <v>0</v>
      </c>
      <c r="G454" s="291">
        <v>0</v>
      </c>
      <c r="H454" s="150">
        <v>0</v>
      </c>
      <c r="I454" s="567">
        <f t="shared" si="12"/>
        <v>0</v>
      </c>
    </row>
    <row r="455" spans="1:9" x14ac:dyDescent="0.15">
      <c r="A455" s="138"/>
      <c r="B455" s="521" t="s">
        <v>128</v>
      </c>
      <c r="C455" s="138" t="s">
        <v>135</v>
      </c>
      <c r="D455" s="144">
        <v>0</v>
      </c>
      <c r="E455" s="144">
        <v>0</v>
      </c>
      <c r="F455" s="144">
        <v>0</v>
      </c>
      <c r="G455" s="291">
        <v>0</v>
      </c>
      <c r="H455" s="150">
        <v>0</v>
      </c>
      <c r="I455" s="567">
        <f t="shared" si="12"/>
        <v>0</v>
      </c>
    </row>
    <row r="456" spans="1:9" x14ac:dyDescent="0.15">
      <c r="A456" s="138"/>
      <c r="B456" s="521" t="s">
        <v>132</v>
      </c>
      <c r="C456" s="138" t="s">
        <v>1617</v>
      </c>
      <c r="D456" s="144">
        <v>0</v>
      </c>
      <c r="E456" s="144">
        <v>0</v>
      </c>
      <c r="F456" s="144">
        <v>0</v>
      </c>
      <c r="G456" s="291">
        <v>0</v>
      </c>
      <c r="H456" s="150">
        <v>0</v>
      </c>
      <c r="I456" s="567">
        <f t="shared" si="12"/>
        <v>0</v>
      </c>
    </row>
    <row r="457" spans="1:9" x14ac:dyDescent="0.15">
      <c r="A457" s="138"/>
      <c r="B457" s="521" t="s">
        <v>1618</v>
      </c>
      <c r="C457" s="138" t="s">
        <v>836</v>
      </c>
      <c r="D457" s="144">
        <v>0</v>
      </c>
      <c r="E457" s="144">
        <v>0</v>
      </c>
      <c r="F457" s="144">
        <v>0</v>
      </c>
      <c r="G457" s="291">
        <v>0</v>
      </c>
      <c r="H457" s="150">
        <v>0</v>
      </c>
      <c r="I457" s="567">
        <f t="shared" si="12"/>
        <v>0</v>
      </c>
    </row>
    <row r="458" spans="1:9" x14ac:dyDescent="0.15">
      <c r="A458" s="138"/>
      <c r="B458" s="521" t="s">
        <v>1619</v>
      </c>
      <c r="C458" s="138" t="s">
        <v>837</v>
      </c>
      <c r="D458" s="144">
        <v>0</v>
      </c>
      <c r="E458" s="144">
        <v>0</v>
      </c>
      <c r="F458" s="144">
        <v>0</v>
      </c>
      <c r="G458" s="291">
        <v>0</v>
      </c>
      <c r="H458" s="150">
        <v>0</v>
      </c>
      <c r="I458" s="567">
        <f t="shared" si="12"/>
        <v>0</v>
      </c>
    </row>
    <row r="459" spans="1:9" x14ac:dyDescent="0.15">
      <c r="A459" s="138"/>
      <c r="B459" s="521" t="s">
        <v>1620</v>
      </c>
      <c r="C459" s="138" t="s">
        <v>838</v>
      </c>
      <c r="D459" s="144">
        <v>0</v>
      </c>
      <c r="E459" s="144">
        <v>0</v>
      </c>
      <c r="F459" s="144">
        <v>0</v>
      </c>
      <c r="G459" s="291">
        <v>0</v>
      </c>
      <c r="H459" s="150">
        <v>0</v>
      </c>
      <c r="I459" s="567">
        <f t="shared" si="12"/>
        <v>0</v>
      </c>
    </row>
    <row r="460" spans="1:9" x14ac:dyDescent="0.15">
      <c r="A460" s="138"/>
      <c r="B460" s="521" t="s">
        <v>1621</v>
      </c>
      <c r="C460" s="138" t="s">
        <v>839</v>
      </c>
      <c r="D460" s="144">
        <v>0</v>
      </c>
      <c r="E460" s="144">
        <v>0</v>
      </c>
      <c r="F460" s="144">
        <v>0</v>
      </c>
      <c r="G460" s="291">
        <v>0</v>
      </c>
      <c r="H460" s="150">
        <v>0</v>
      </c>
      <c r="I460" s="567">
        <f t="shared" si="12"/>
        <v>0</v>
      </c>
    </row>
    <row r="461" spans="1:9" x14ac:dyDescent="0.15">
      <c r="A461" s="138"/>
      <c r="B461" s="521" t="s">
        <v>1622</v>
      </c>
      <c r="C461" s="138" t="s">
        <v>190</v>
      </c>
      <c r="D461" s="144">
        <v>0</v>
      </c>
      <c r="E461" s="144">
        <v>0</v>
      </c>
      <c r="F461" s="144">
        <v>0</v>
      </c>
      <c r="G461" s="291">
        <v>0</v>
      </c>
      <c r="H461" s="150">
        <v>0</v>
      </c>
      <c r="I461" s="567">
        <f t="shared" si="12"/>
        <v>0</v>
      </c>
    </row>
    <row r="462" spans="1:9" x14ac:dyDescent="0.15">
      <c r="A462" s="138"/>
      <c r="B462" s="521" t="s">
        <v>1623</v>
      </c>
      <c r="C462" s="138" t="s">
        <v>191</v>
      </c>
      <c r="D462" s="144">
        <v>0</v>
      </c>
      <c r="E462" s="144">
        <v>0</v>
      </c>
      <c r="F462" s="144">
        <v>0</v>
      </c>
      <c r="G462" s="291">
        <v>0</v>
      </c>
      <c r="H462" s="150">
        <v>0</v>
      </c>
      <c r="I462" s="567">
        <f t="shared" si="12"/>
        <v>0</v>
      </c>
    </row>
    <row r="463" spans="1:9" x14ac:dyDescent="0.15">
      <c r="A463" s="138"/>
      <c r="B463" s="521" t="s">
        <v>1624</v>
      </c>
      <c r="C463" s="138" t="s">
        <v>840</v>
      </c>
      <c r="D463" s="144">
        <v>0</v>
      </c>
      <c r="E463" s="144">
        <v>0</v>
      </c>
      <c r="F463" s="144">
        <v>0</v>
      </c>
      <c r="G463" s="291">
        <v>0</v>
      </c>
      <c r="H463" s="150">
        <v>0</v>
      </c>
      <c r="I463" s="567">
        <f t="shared" si="12"/>
        <v>0</v>
      </c>
    </row>
    <row r="464" spans="1:9" x14ac:dyDescent="0.15">
      <c r="A464" s="138"/>
      <c r="B464" s="521" t="s">
        <v>1625</v>
      </c>
      <c r="C464" s="138" t="s">
        <v>842</v>
      </c>
      <c r="D464" s="144">
        <v>0</v>
      </c>
      <c r="E464" s="144">
        <v>0</v>
      </c>
      <c r="F464" s="144">
        <v>0</v>
      </c>
      <c r="G464" s="291">
        <v>0</v>
      </c>
      <c r="H464" s="150">
        <v>0</v>
      </c>
      <c r="I464" s="567">
        <f t="shared" si="12"/>
        <v>0</v>
      </c>
    </row>
    <row r="465" spans="1:9" x14ac:dyDescent="0.15">
      <c r="A465" s="138"/>
      <c r="B465" s="521" t="s">
        <v>843</v>
      </c>
      <c r="C465" s="138" t="s">
        <v>848</v>
      </c>
      <c r="D465" s="144">
        <v>0</v>
      </c>
      <c r="E465" s="144">
        <v>0</v>
      </c>
      <c r="F465" s="144">
        <v>0</v>
      </c>
      <c r="G465" s="291">
        <v>0</v>
      </c>
      <c r="H465" s="150">
        <v>0</v>
      </c>
      <c r="I465" s="567">
        <f t="shared" si="12"/>
        <v>0</v>
      </c>
    </row>
    <row r="466" spans="1:9" x14ac:dyDescent="0.15">
      <c r="A466" s="138"/>
      <c r="B466" s="521" t="s">
        <v>844</v>
      </c>
      <c r="C466" s="138" t="s">
        <v>153</v>
      </c>
      <c r="D466" s="144">
        <v>0</v>
      </c>
      <c r="E466" s="144">
        <v>0</v>
      </c>
      <c r="F466" s="144">
        <v>0</v>
      </c>
      <c r="G466" s="291">
        <v>0</v>
      </c>
      <c r="H466" s="150">
        <v>0</v>
      </c>
      <c r="I466" s="567">
        <f t="shared" si="12"/>
        <v>0</v>
      </c>
    </row>
    <row r="467" spans="1:9" x14ac:dyDescent="0.15">
      <c r="A467" s="138"/>
      <c r="B467" s="521" t="s">
        <v>845</v>
      </c>
      <c r="C467" s="138" t="s">
        <v>154</v>
      </c>
      <c r="D467" s="144">
        <v>0</v>
      </c>
      <c r="E467" s="144">
        <v>0</v>
      </c>
      <c r="F467" s="144">
        <v>0</v>
      </c>
      <c r="G467" s="291">
        <v>0</v>
      </c>
      <c r="H467" s="150">
        <v>0</v>
      </c>
      <c r="I467" s="567">
        <f t="shared" si="12"/>
        <v>0</v>
      </c>
    </row>
    <row r="468" spans="1:9" x14ac:dyDescent="0.15">
      <c r="A468" s="138"/>
      <c r="B468" s="521" t="s">
        <v>846</v>
      </c>
      <c r="C468" s="138" t="s">
        <v>155</v>
      </c>
      <c r="D468" s="144">
        <v>0</v>
      </c>
      <c r="E468" s="144">
        <v>0</v>
      </c>
      <c r="F468" s="144">
        <v>0</v>
      </c>
      <c r="G468" s="291">
        <v>0</v>
      </c>
      <c r="H468" s="150">
        <v>0</v>
      </c>
      <c r="I468" s="567">
        <f t="shared" si="12"/>
        <v>0</v>
      </c>
    </row>
    <row r="469" spans="1:9" x14ac:dyDescent="0.15">
      <c r="A469" s="138"/>
      <c r="B469" s="521" t="s">
        <v>1582</v>
      </c>
      <c r="C469" s="138" t="s">
        <v>156</v>
      </c>
      <c r="D469" s="144">
        <v>0</v>
      </c>
      <c r="E469" s="144">
        <v>0</v>
      </c>
      <c r="F469" s="144">
        <v>0</v>
      </c>
      <c r="G469" s="291">
        <v>0</v>
      </c>
      <c r="H469" s="150">
        <v>0</v>
      </c>
      <c r="I469" s="567">
        <f t="shared" si="12"/>
        <v>0</v>
      </c>
    </row>
    <row r="470" spans="1:9" x14ac:dyDescent="0.15">
      <c r="A470" s="138"/>
      <c r="B470" s="521" t="s">
        <v>847</v>
      </c>
      <c r="C470" s="138" t="s">
        <v>157</v>
      </c>
      <c r="D470" s="144">
        <v>0</v>
      </c>
      <c r="E470" s="144">
        <v>0</v>
      </c>
      <c r="F470" s="144">
        <v>0</v>
      </c>
      <c r="G470" s="291">
        <v>0</v>
      </c>
      <c r="H470" s="150">
        <v>0</v>
      </c>
      <c r="I470" s="567">
        <f t="shared" si="12"/>
        <v>0</v>
      </c>
    </row>
    <row r="471" spans="1:9" x14ac:dyDescent="0.15">
      <c r="A471" s="138"/>
      <c r="B471" s="521" t="s">
        <v>1583</v>
      </c>
      <c r="C471" s="138" t="s">
        <v>160</v>
      </c>
      <c r="D471" s="144">
        <v>0</v>
      </c>
      <c r="E471" s="144">
        <v>0</v>
      </c>
      <c r="F471" s="144">
        <v>0</v>
      </c>
      <c r="G471" s="291">
        <v>0</v>
      </c>
      <c r="H471" s="150">
        <v>0</v>
      </c>
      <c r="I471" s="567">
        <f t="shared" si="12"/>
        <v>0</v>
      </c>
    </row>
    <row r="472" spans="1:9" x14ac:dyDescent="0.15">
      <c r="A472" s="138"/>
      <c r="B472" s="521" t="s">
        <v>634</v>
      </c>
      <c r="C472" s="138" t="s">
        <v>165</v>
      </c>
      <c r="D472" s="144">
        <v>0</v>
      </c>
      <c r="E472" s="144">
        <v>0</v>
      </c>
      <c r="F472" s="144">
        <v>0</v>
      </c>
      <c r="G472" s="291">
        <v>0</v>
      </c>
      <c r="H472" s="150">
        <v>0</v>
      </c>
      <c r="I472" s="567">
        <f t="shared" si="12"/>
        <v>0</v>
      </c>
    </row>
    <row r="473" spans="1:9" x14ac:dyDescent="0.15">
      <c r="A473" s="138"/>
      <c r="B473" s="521" t="s">
        <v>630</v>
      </c>
      <c r="C473" s="138" t="s">
        <v>172</v>
      </c>
      <c r="D473" s="144">
        <v>0</v>
      </c>
      <c r="E473" s="144">
        <v>0</v>
      </c>
      <c r="F473" s="144">
        <v>0</v>
      </c>
      <c r="G473" s="291">
        <v>0</v>
      </c>
      <c r="H473" s="150">
        <v>0</v>
      </c>
      <c r="I473" s="567">
        <f t="shared" si="12"/>
        <v>0</v>
      </c>
    </row>
    <row r="474" spans="1:9" x14ac:dyDescent="0.15">
      <c r="A474" s="138"/>
      <c r="B474" s="650" t="s">
        <v>631</v>
      </c>
      <c r="C474" s="651" t="s">
        <v>173</v>
      </c>
      <c r="D474" s="144">
        <v>0</v>
      </c>
      <c r="E474" s="144">
        <v>0</v>
      </c>
      <c r="F474" s="144">
        <v>0</v>
      </c>
      <c r="G474" s="291">
        <v>0</v>
      </c>
      <c r="H474" s="150">
        <v>0</v>
      </c>
      <c r="I474" s="567">
        <f t="shared" si="12"/>
        <v>0</v>
      </c>
    </row>
    <row r="475" spans="1:9" x14ac:dyDescent="0.15">
      <c r="A475" s="138"/>
      <c r="B475" s="521" t="s">
        <v>1584</v>
      </c>
      <c r="C475" s="138" t="s">
        <v>178</v>
      </c>
      <c r="D475" s="144">
        <v>0</v>
      </c>
      <c r="E475" s="144">
        <v>0</v>
      </c>
      <c r="F475" s="144">
        <v>0</v>
      </c>
      <c r="G475" s="291">
        <v>0</v>
      </c>
      <c r="H475" s="150">
        <v>0</v>
      </c>
      <c r="I475" s="567">
        <f t="shared" si="12"/>
        <v>0</v>
      </c>
    </row>
    <row r="476" spans="1:9" x14ac:dyDescent="0.15">
      <c r="A476" s="138"/>
      <c r="B476" s="521" t="s">
        <v>174</v>
      </c>
      <c r="C476" s="138" t="s">
        <v>179</v>
      </c>
      <c r="D476" s="144">
        <v>0</v>
      </c>
      <c r="E476" s="144">
        <v>0</v>
      </c>
      <c r="F476" s="144">
        <v>0</v>
      </c>
      <c r="G476" s="291">
        <v>0</v>
      </c>
      <c r="H476" s="150">
        <v>0</v>
      </c>
      <c r="I476" s="567">
        <f t="shared" si="12"/>
        <v>0</v>
      </c>
    </row>
    <row r="477" spans="1:9" x14ac:dyDescent="0.15">
      <c r="A477" s="138"/>
      <c r="B477" s="521" t="s">
        <v>175</v>
      </c>
      <c r="C477" s="138" t="s">
        <v>180</v>
      </c>
      <c r="D477" s="144">
        <v>0</v>
      </c>
      <c r="E477" s="144">
        <v>0</v>
      </c>
      <c r="F477" s="144">
        <v>0</v>
      </c>
      <c r="G477" s="291">
        <v>0</v>
      </c>
      <c r="H477" s="150">
        <v>0</v>
      </c>
      <c r="I477" s="567">
        <f t="shared" si="12"/>
        <v>0</v>
      </c>
    </row>
    <row r="478" spans="1:9" ht="11.25" thickBot="1" x14ac:dyDescent="0.2">
      <c r="A478" s="138"/>
      <c r="B478" s="521" t="s">
        <v>176</v>
      </c>
      <c r="C478" s="138" t="s">
        <v>181</v>
      </c>
      <c r="D478" s="144">
        <v>0</v>
      </c>
      <c r="E478" s="144">
        <v>0</v>
      </c>
      <c r="F478" s="144">
        <v>0</v>
      </c>
      <c r="G478" s="291">
        <v>0</v>
      </c>
      <c r="H478" s="150">
        <v>0</v>
      </c>
      <c r="I478" s="567">
        <f t="shared" si="12"/>
        <v>0</v>
      </c>
    </row>
    <row r="479" spans="1:9" ht="12" thickTop="1" thickBot="1" x14ac:dyDescent="0.2">
      <c r="A479" s="138"/>
      <c r="B479" s="521"/>
      <c r="C479" s="138" t="s">
        <v>243</v>
      </c>
      <c r="D479" s="169">
        <f>SUM(D445:D478)</f>
        <v>0</v>
      </c>
      <c r="E479" s="169">
        <f>SUM(E445:E478)</f>
        <v>0</v>
      </c>
      <c r="F479" s="169">
        <f>SUM(F445:F478)</f>
        <v>0</v>
      </c>
      <c r="G479" s="169">
        <f>SUM(G445:G478)</f>
        <v>0</v>
      </c>
      <c r="H479" s="169">
        <f>SUM(H445:H478)</f>
        <v>0</v>
      </c>
      <c r="I479" s="169">
        <f t="shared" si="12"/>
        <v>0</v>
      </c>
    </row>
    <row r="480" spans="1:9" ht="11.25" thickTop="1" x14ac:dyDescent="0.15">
      <c r="A480" s="138"/>
      <c r="B480" s="138"/>
      <c r="C480" s="138"/>
      <c r="D480" s="14"/>
      <c r="E480" s="14"/>
      <c r="F480" s="14"/>
      <c r="G480" s="14"/>
      <c r="H480" s="14"/>
      <c r="I480" s="563"/>
    </row>
    <row r="481" spans="1:9" x14ac:dyDescent="0.15">
      <c r="A481" s="522" t="s">
        <v>244</v>
      </c>
      <c r="B481" s="138"/>
      <c r="C481" s="138"/>
      <c r="D481" s="14"/>
      <c r="E481" s="14"/>
      <c r="F481" s="14"/>
      <c r="G481" s="14"/>
      <c r="H481" s="14"/>
      <c r="I481" s="563"/>
    </row>
    <row r="482" spans="1:9" s="434" customFormat="1" x14ac:dyDescent="0.15">
      <c r="B482" s="523" t="s">
        <v>1577</v>
      </c>
      <c r="C482" s="524" t="s">
        <v>228</v>
      </c>
      <c r="D482" s="316">
        <v>0</v>
      </c>
      <c r="E482" s="316">
        <v>0</v>
      </c>
      <c r="F482" s="316">
        <v>0</v>
      </c>
      <c r="G482" s="528">
        <f t="array" ref="G482">SUM(IF(CertFund&amp;CertProg&amp;CertObj=RIGHT(LEFT($A$2,7),2)&amp;LEFT(A481,4)&amp;B482,CertSalary))</f>
        <v>0</v>
      </c>
      <c r="H482" s="527">
        <v>0</v>
      </c>
      <c r="I482" s="566">
        <f t="shared" ref="I482:I516" si="13">SUM(G482+H482)</f>
        <v>0</v>
      </c>
    </row>
    <row r="483" spans="1:9" s="434" customFormat="1" x14ac:dyDescent="0.15">
      <c r="B483" s="523" t="s">
        <v>1577</v>
      </c>
      <c r="C483" s="524" t="s">
        <v>510</v>
      </c>
      <c r="D483" s="316">
        <v>0</v>
      </c>
      <c r="E483" s="316">
        <v>0</v>
      </c>
      <c r="F483" s="316">
        <v>0</v>
      </c>
      <c r="G483" s="316">
        <v>0</v>
      </c>
      <c r="H483" s="527">
        <v>0</v>
      </c>
      <c r="I483" s="566">
        <f t="shared" si="13"/>
        <v>0</v>
      </c>
    </row>
    <row r="484" spans="1:9" s="434" customFormat="1" x14ac:dyDescent="0.15">
      <c r="A484" s="524"/>
      <c r="B484" s="523" t="s">
        <v>1578</v>
      </c>
      <c r="C484" s="524" t="s">
        <v>936</v>
      </c>
      <c r="D484" s="316">
        <v>0</v>
      </c>
      <c r="E484" s="316">
        <v>0</v>
      </c>
      <c r="F484" s="316">
        <v>0</v>
      </c>
      <c r="G484" s="529">
        <f t="array" ref="G484">SUM(IF(CertFund&amp;CertProg&amp;CertObj=RIGHT(LEFT($A$2,7),2)&amp;LEFT(A481,4)&amp;B482,CertBen))</f>
        <v>0</v>
      </c>
      <c r="H484" s="527">
        <v>0</v>
      </c>
      <c r="I484" s="566">
        <f t="shared" si="13"/>
        <v>0</v>
      </c>
    </row>
    <row r="485" spans="1:9" s="434" customFormat="1" x14ac:dyDescent="0.15">
      <c r="A485" s="524"/>
      <c r="B485" s="523" t="s">
        <v>1578</v>
      </c>
      <c r="C485" s="524" t="s">
        <v>511</v>
      </c>
      <c r="D485" s="316">
        <v>0</v>
      </c>
      <c r="E485" s="316">
        <v>0</v>
      </c>
      <c r="F485" s="316">
        <v>0</v>
      </c>
      <c r="G485" s="316">
        <v>0</v>
      </c>
      <c r="H485" s="527">
        <v>0</v>
      </c>
      <c r="I485" s="566">
        <f t="shared" si="13"/>
        <v>0</v>
      </c>
    </row>
    <row r="486" spans="1:9" x14ac:dyDescent="0.15">
      <c r="A486" s="138"/>
      <c r="B486" s="521" t="s">
        <v>1579</v>
      </c>
      <c r="C486" s="138" t="s">
        <v>118</v>
      </c>
      <c r="D486" s="144">
        <v>0</v>
      </c>
      <c r="E486" s="144">
        <v>0</v>
      </c>
      <c r="F486" s="144">
        <v>0</v>
      </c>
      <c r="G486" s="291">
        <v>0</v>
      </c>
      <c r="H486" s="150">
        <v>0</v>
      </c>
      <c r="I486" s="567">
        <f t="shared" si="13"/>
        <v>0</v>
      </c>
    </row>
    <row r="487" spans="1:9" x14ac:dyDescent="0.15">
      <c r="A487" s="138"/>
      <c r="B487" s="521" t="s">
        <v>1580</v>
      </c>
      <c r="C487" s="138" t="s">
        <v>119</v>
      </c>
      <c r="D487" s="144">
        <v>0</v>
      </c>
      <c r="E487" s="144">
        <v>0</v>
      </c>
      <c r="F487" s="144">
        <v>0</v>
      </c>
      <c r="G487" s="291">
        <v>0</v>
      </c>
      <c r="H487" s="150">
        <v>0</v>
      </c>
      <c r="I487" s="567">
        <f t="shared" si="13"/>
        <v>0</v>
      </c>
    </row>
    <row r="488" spans="1:9" x14ac:dyDescent="0.15">
      <c r="A488" s="138"/>
      <c r="B488" s="521" t="s">
        <v>120</v>
      </c>
      <c r="C488" s="138" t="s">
        <v>121</v>
      </c>
      <c r="D488" s="144">
        <v>0</v>
      </c>
      <c r="E488" s="144">
        <v>0</v>
      </c>
      <c r="F488" s="144">
        <v>0</v>
      </c>
      <c r="G488" s="291">
        <v>0</v>
      </c>
      <c r="H488" s="150">
        <v>0</v>
      </c>
      <c r="I488" s="567">
        <f t="shared" si="13"/>
        <v>0</v>
      </c>
    </row>
    <row r="489" spans="1:9" x14ac:dyDescent="0.15">
      <c r="A489" s="138"/>
      <c r="B489" s="521" t="s">
        <v>122</v>
      </c>
      <c r="C489" s="138" t="s">
        <v>123</v>
      </c>
      <c r="D489" s="144">
        <v>0</v>
      </c>
      <c r="E489" s="144">
        <v>0</v>
      </c>
      <c r="F489" s="144">
        <v>0</v>
      </c>
      <c r="G489" s="291">
        <v>0</v>
      </c>
      <c r="H489" s="150">
        <v>0</v>
      </c>
      <c r="I489" s="567">
        <f t="shared" si="13"/>
        <v>0</v>
      </c>
    </row>
    <row r="490" spans="1:9" x14ac:dyDescent="0.15">
      <c r="A490" s="138"/>
      <c r="B490" s="521" t="s">
        <v>1581</v>
      </c>
      <c r="C490" s="138" t="s">
        <v>124</v>
      </c>
      <c r="D490" s="144">
        <v>0</v>
      </c>
      <c r="E490" s="144">
        <v>0</v>
      </c>
      <c r="F490" s="144">
        <v>0</v>
      </c>
      <c r="G490" s="291">
        <v>0</v>
      </c>
      <c r="H490" s="150">
        <v>0</v>
      </c>
      <c r="I490" s="567">
        <f t="shared" si="13"/>
        <v>0</v>
      </c>
    </row>
    <row r="491" spans="1:9" x14ac:dyDescent="0.15">
      <c r="A491" s="138"/>
      <c r="B491" s="521" t="s">
        <v>127</v>
      </c>
      <c r="C491" s="138" t="s">
        <v>134</v>
      </c>
      <c r="D491" s="144">
        <v>0</v>
      </c>
      <c r="E491" s="144">
        <v>0</v>
      </c>
      <c r="F491" s="144">
        <v>0</v>
      </c>
      <c r="G491" s="291">
        <v>0</v>
      </c>
      <c r="H491" s="150">
        <v>0</v>
      </c>
      <c r="I491" s="567">
        <f t="shared" si="13"/>
        <v>0</v>
      </c>
    </row>
    <row r="492" spans="1:9" x14ac:dyDescent="0.15">
      <c r="A492" s="138"/>
      <c r="B492" s="521" t="s">
        <v>128</v>
      </c>
      <c r="C492" s="138" t="s">
        <v>135</v>
      </c>
      <c r="D492" s="144">
        <v>0</v>
      </c>
      <c r="E492" s="144">
        <v>0</v>
      </c>
      <c r="F492" s="144">
        <v>0</v>
      </c>
      <c r="G492" s="291">
        <v>0</v>
      </c>
      <c r="H492" s="150">
        <v>0</v>
      </c>
      <c r="I492" s="567">
        <f t="shared" si="13"/>
        <v>0</v>
      </c>
    </row>
    <row r="493" spans="1:9" x14ac:dyDescent="0.15">
      <c r="A493" s="138"/>
      <c r="B493" s="521" t="s">
        <v>132</v>
      </c>
      <c r="C493" s="138" t="s">
        <v>1617</v>
      </c>
      <c r="D493" s="144">
        <v>0</v>
      </c>
      <c r="E493" s="144">
        <v>0</v>
      </c>
      <c r="F493" s="144">
        <v>0</v>
      </c>
      <c r="G493" s="291">
        <v>0</v>
      </c>
      <c r="H493" s="150">
        <v>0</v>
      </c>
      <c r="I493" s="567">
        <f t="shared" si="13"/>
        <v>0</v>
      </c>
    </row>
    <row r="494" spans="1:9" x14ac:dyDescent="0.15">
      <c r="A494" s="138"/>
      <c r="B494" s="521" t="s">
        <v>1618</v>
      </c>
      <c r="C494" s="138" t="s">
        <v>836</v>
      </c>
      <c r="D494" s="144">
        <v>0</v>
      </c>
      <c r="E494" s="144">
        <v>0</v>
      </c>
      <c r="F494" s="144">
        <v>0</v>
      </c>
      <c r="G494" s="291">
        <v>0</v>
      </c>
      <c r="H494" s="150">
        <v>0</v>
      </c>
      <c r="I494" s="567">
        <f t="shared" si="13"/>
        <v>0</v>
      </c>
    </row>
    <row r="495" spans="1:9" x14ac:dyDescent="0.15">
      <c r="A495" s="138"/>
      <c r="B495" s="521" t="s">
        <v>1619</v>
      </c>
      <c r="C495" s="138" t="s">
        <v>837</v>
      </c>
      <c r="D495" s="144">
        <v>0</v>
      </c>
      <c r="E495" s="144">
        <v>0</v>
      </c>
      <c r="F495" s="144">
        <v>0</v>
      </c>
      <c r="G495" s="291">
        <v>0</v>
      </c>
      <c r="H495" s="150">
        <v>0</v>
      </c>
      <c r="I495" s="567">
        <f t="shared" si="13"/>
        <v>0</v>
      </c>
    </row>
    <row r="496" spans="1:9" x14ac:dyDescent="0.15">
      <c r="A496" s="138"/>
      <c r="B496" s="521" t="s">
        <v>1620</v>
      </c>
      <c r="C496" s="138" t="s">
        <v>838</v>
      </c>
      <c r="D496" s="144">
        <v>0</v>
      </c>
      <c r="E496" s="144">
        <v>0</v>
      </c>
      <c r="F496" s="144">
        <v>0</v>
      </c>
      <c r="G496" s="291">
        <v>0</v>
      </c>
      <c r="H496" s="150">
        <v>0</v>
      </c>
      <c r="I496" s="567">
        <f t="shared" si="13"/>
        <v>0</v>
      </c>
    </row>
    <row r="497" spans="1:9" x14ac:dyDescent="0.15">
      <c r="A497" s="138"/>
      <c r="B497" s="521" t="s">
        <v>1621</v>
      </c>
      <c r="C497" s="138" t="s">
        <v>839</v>
      </c>
      <c r="D497" s="144">
        <v>0</v>
      </c>
      <c r="E497" s="144">
        <v>0</v>
      </c>
      <c r="F497" s="144">
        <v>0</v>
      </c>
      <c r="G497" s="291">
        <v>0</v>
      </c>
      <c r="H497" s="150">
        <v>0</v>
      </c>
      <c r="I497" s="567">
        <f t="shared" si="13"/>
        <v>0</v>
      </c>
    </row>
    <row r="498" spans="1:9" x14ac:dyDescent="0.15">
      <c r="A498" s="138"/>
      <c r="B498" s="521" t="s">
        <v>1622</v>
      </c>
      <c r="C498" s="138" t="s">
        <v>190</v>
      </c>
      <c r="D498" s="144">
        <v>0</v>
      </c>
      <c r="E498" s="144">
        <v>0</v>
      </c>
      <c r="F498" s="144">
        <v>0</v>
      </c>
      <c r="G498" s="291">
        <v>0</v>
      </c>
      <c r="H498" s="150">
        <v>0</v>
      </c>
      <c r="I498" s="567">
        <f t="shared" si="13"/>
        <v>0</v>
      </c>
    </row>
    <row r="499" spans="1:9" x14ac:dyDescent="0.15">
      <c r="A499" s="138"/>
      <c r="B499" s="521" t="s">
        <v>1623</v>
      </c>
      <c r="C499" s="138" t="s">
        <v>191</v>
      </c>
      <c r="D499" s="144">
        <v>0</v>
      </c>
      <c r="E499" s="144">
        <v>0</v>
      </c>
      <c r="F499" s="144">
        <v>0</v>
      </c>
      <c r="G499" s="291">
        <v>0</v>
      </c>
      <c r="H499" s="150">
        <v>0</v>
      </c>
      <c r="I499" s="567">
        <f t="shared" si="13"/>
        <v>0</v>
      </c>
    </row>
    <row r="500" spans="1:9" x14ac:dyDescent="0.15">
      <c r="A500" s="138"/>
      <c r="B500" s="521" t="s">
        <v>1624</v>
      </c>
      <c r="C500" s="138" t="s">
        <v>840</v>
      </c>
      <c r="D500" s="144">
        <v>0</v>
      </c>
      <c r="E500" s="144">
        <v>0</v>
      </c>
      <c r="F500" s="144">
        <v>0</v>
      </c>
      <c r="G500" s="291">
        <v>0</v>
      </c>
      <c r="H500" s="150">
        <v>0</v>
      </c>
      <c r="I500" s="567">
        <f t="shared" si="13"/>
        <v>0</v>
      </c>
    </row>
    <row r="501" spans="1:9" x14ac:dyDescent="0.15">
      <c r="A501" s="138"/>
      <c r="B501" s="521" t="s">
        <v>1625</v>
      </c>
      <c r="C501" s="138" t="s">
        <v>842</v>
      </c>
      <c r="D501" s="144">
        <v>0</v>
      </c>
      <c r="E501" s="144">
        <v>0</v>
      </c>
      <c r="F501" s="144">
        <v>0</v>
      </c>
      <c r="G501" s="291">
        <v>0</v>
      </c>
      <c r="H501" s="150">
        <v>0</v>
      </c>
      <c r="I501" s="567">
        <f t="shared" si="13"/>
        <v>0</v>
      </c>
    </row>
    <row r="502" spans="1:9" x14ac:dyDescent="0.15">
      <c r="A502" s="138"/>
      <c r="B502" s="521" t="s">
        <v>843</v>
      </c>
      <c r="C502" s="138" t="s">
        <v>848</v>
      </c>
      <c r="D502" s="144">
        <v>0</v>
      </c>
      <c r="E502" s="144">
        <v>0</v>
      </c>
      <c r="F502" s="144">
        <v>0</v>
      </c>
      <c r="G502" s="291">
        <v>0</v>
      </c>
      <c r="H502" s="150">
        <v>0</v>
      </c>
      <c r="I502" s="567">
        <f t="shared" si="13"/>
        <v>0</v>
      </c>
    </row>
    <row r="503" spans="1:9" x14ac:dyDescent="0.15">
      <c r="A503" s="138"/>
      <c r="B503" s="521" t="s">
        <v>844</v>
      </c>
      <c r="C503" s="138" t="s">
        <v>153</v>
      </c>
      <c r="D503" s="144">
        <v>0</v>
      </c>
      <c r="E503" s="144">
        <v>0</v>
      </c>
      <c r="F503" s="144">
        <v>0</v>
      </c>
      <c r="G503" s="291">
        <v>0</v>
      </c>
      <c r="H503" s="150">
        <v>0</v>
      </c>
      <c r="I503" s="567">
        <f t="shared" si="13"/>
        <v>0</v>
      </c>
    </row>
    <row r="504" spans="1:9" x14ac:dyDescent="0.15">
      <c r="A504" s="138"/>
      <c r="B504" s="521" t="s">
        <v>845</v>
      </c>
      <c r="C504" s="138" t="s">
        <v>154</v>
      </c>
      <c r="D504" s="144">
        <v>0</v>
      </c>
      <c r="E504" s="144">
        <v>0</v>
      </c>
      <c r="F504" s="144">
        <v>0</v>
      </c>
      <c r="G504" s="291">
        <v>0</v>
      </c>
      <c r="H504" s="150">
        <v>0</v>
      </c>
      <c r="I504" s="567">
        <f t="shared" si="13"/>
        <v>0</v>
      </c>
    </row>
    <row r="505" spans="1:9" x14ac:dyDescent="0.15">
      <c r="A505" s="138"/>
      <c r="B505" s="521" t="s">
        <v>846</v>
      </c>
      <c r="C505" s="138" t="s">
        <v>155</v>
      </c>
      <c r="D505" s="144">
        <v>0</v>
      </c>
      <c r="E505" s="144">
        <v>0</v>
      </c>
      <c r="F505" s="144">
        <v>0</v>
      </c>
      <c r="G505" s="291">
        <v>0</v>
      </c>
      <c r="H505" s="150">
        <v>0</v>
      </c>
      <c r="I505" s="567">
        <f t="shared" si="13"/>
        <v>0</v>
      </c>
    </row>
    <row r="506" spans="1:9" x14ac:dyDescent="0.15">
      <c r="A506" s="138"/>
      <c r="B506" s="521" t="s">
        <v>1582</v>
      </c>
      <c r="C506" s="138" t="s">
        <v>156</v>
      </c>
      <c r="D506" s="144">
        <v>0</v>
      </c>
      <c r="E506" s="144">
        <v>0</v>
      </c>
      <c r="F506" s="144">
        <v>0</v>
      </c>
      <c r="G506" s="291">
        <v>0</v>
      </c>
      <c r="H506" s="150">
        <v>0</v>
      </c>
      <c r="I506" s="567">
        <f t="shared" si="13"/>
        <v>0</v>
      </c>
    </row>
    <row r="507" spans="1:9" x14ac:dyDescent="0.15">
      <c r="A507" s="138"/>
      <c r="B507" s="521" t="s">
        <v>847</v>
      </c>
      <c r="C507" s="138" t="s">
        <v>157</v>
      </c>
      <c r="D507" s="144">
        <v>0</v>
      </c>
      <c r="E507" s="144">
        <v>0</v>
      </c>
      <c r="F507" s="144">
        <v>0</v>
      </c>
      <c r="G507" s="291">
        <v>0</v>
      </c>
      <c r="H507" s="150">
        <v>0</v>
      </c>
      <c r="I507" s="567">
        <f t="shared" si="13"/>
        <v>0</v>
      </c>
    </row>
    <row r="508" spans="1:9" x14ac:dyDescent="0.15">
      <c r="A508" s="138"/>
      <c r="B508" s="521" t="s">
        <v>1583</v>
      </c>
      <c r="C508" s="138" t="s">
        <v>160</v>
      </c>
      <c r="D508" s="144">
        <v>0</v>
      </c>
      <c r="E508" s="144">
        <v>0</v>
      </c>
      <c r="F508" s="144">
        <v>0</v>
      </c>
      <c r="G508" s="291">
        <v>0</v>
      </c>
      <c r="H508" s="150">
        <v>0</v>
      </c>
      <c r="I508" s="567">
        <f t="shared" si="13"/>
        <v>0</v>
      </c>
    </row>
    <row r="509" spans="1:9" x14ac:dyDescent="0.15">
      <c r="A509" s="138"/>
      <c r="B509" s="521" t="s">
        <v>634</v>
      </c>
      <c r="C509" s="138" t="s">
        <v>165</v>
      </c>
      <c r="D509" s="144">
        <v>0</v>
      </c>
      <c r="E509" s="144">
        <v>0</v>
      </c>
      <c r="F509" s="144">
        <v>0</v>
      </c>
      <c r="G509" s="291">
        <v>0</v>
      </c>
      <c r="H509" s="150">
        <v>0</v>
      </c>
      <c r="I509" s="567">
        <f t="shared" si="13"/>
        <v>0</v>
      </c>
    </row>
    <row r="510" spans="1:9" x14ac:dyDescent="0.15">
      <c r="A510" s="138"/>
      <c r="B510" s="521" t="s">
        <v>630</v>
      </c>
      <c r="C510" s="138" t="s">
        <v>172</v>
      </c>
      <c r="D510" s="144">
        <v>0</v>
      </c>
      <c r="E510" s="144">
        <v>0</v>
      </c>
      <c r="F510" s="144">
        <v>0</v>
      </c>
      <c r="G510" s="291">
        <v>0</v>
      </c>
      <c r="H510" s="150">
        <v>0</v>
      </c>
      <c r="I510" s="567">
        <f t="shared" si="13"/>
        <v>0</v>
      </c>
    </row>
    <row r="511" spans="1:9" x14ac:dyDescent="0.15">
      <c r="A511" s="138"/>
      <c r="B511" s="650" t="s">
        <v>631</v>
      </c>
      <c r="C511" s="651" t="s">
        <v>173</v>
      </c>
      <c r="D511" s="144">
        <v>0</v>
      </c>
      <c r="E511" s="144">
        <v>0</v>
      </c>
      <c r="F511" s="144">
        <v>0</v>
      </c>
      <c r="G511" s="291">
        <v>0</v>
      </c>
      <c r="H511" s="150">
        <v>0</v>
      </c>
      <c r="I511" s="567">
        <f t="shared" si="13"/>
        <v>0</v>
      </c>
    </row>
    <row r="512" spans="1:9" x14ac:dyDescent="0.15">
      <c r="A512" s="138"/>
      <c r="B512" s="521" t="s">
        <v>1584</v>
      </c>
      <c r="C512" s="138" t="s">
        <v>178</v>
      </c>
      <c r="D512" s="144">
        <v>0</v>
      </c>
      <c r="E512" s="144">
        <v>0</v>
      </c>
      <c r="F512" s="144">
        <v>0</v>
      </c>
      <c r="G512" s="291">
        <v>0</v>
      </c>
      <c r="H512" s="150">
        <v>0</v>
      </c>
      <c r="I512" s="567">
        <f t="shared" si="13"/>
        <v>0</v>
      </c>
    </row>
    <row r="513" spans="1:10" x14ac:dyDescent="0.15">
      <c r="A513" s="138"/>
      <c r="B513" s="521" t="s">
        <v>174</v>
      </c>
      <c r="C513" s="138" t="s">
        <v>179</v>
      </c>
      <c r="D513" s="144">
        <v>0</v>
      </c>
      <c r="E513" s="144">
        <v>0</v>
      </c>
      <c r="F513" s="144">
        <v>0</v>
      </c>
      <c r="G513" s="291">
        <v>0</v>
      </c>
      <c r="H513" s="150">
        <v>0</v>
      </c>
      <c r="I513" s="567">
        <f t="shared" si="13"/>
        <v>0</v>
      </c>
    </row>
    <row r="514" spans="1:10" x14ac:dyDescent="0.15">
      <c r="A514" s="138"/>
      <c r="B514" s="521" t="s">
        <v>175</v>
      </c>
      <c r="C514" s="138" t="s">
        <v>180</v>
      </c>
      <c r="D514" s="144">
        <v>0</v>
      </c>
      <c r="E514" s="144">
        <v>0</v>
      </c>
      <c r="F514" s="144">
        <v>0</v>
      </c>
      <c r="G514" s="291">
        <v>0</v>
      </c>
      <c r="H514" s="150">
        <v>0</v>
      </c>
      <c r="I514" s="567">
        <f t="shared" si="13"/>
        <v>0</v>
      </c>
    </row>
    <row r="515" spans="1:10" ht="11.25" thickBot="1" x14ac:dyDescent="0.2">
      <c r="A515" s="138"/>
      <c r="B515" s="521" t="s">
        <v>176</v>
      </c>
      <c r="C515" s="138" t="s">
        <v>181</v>
      </c>
      <c r="D515" s="144">
        <v>0</v>
      </c>
      <c r="E515" s="144">
        <v>0</v>
      </c>
      <c r="F515" s="144">
        <v>0</v>
      </c>
      <c r="G515" s="291">
        <v>0</v>
      </c>
      <c r="H515" s="150">
        <v>0</v>
      </c>
      <c r="I515" s="567">
        <f t="shared" si="13"/>
        <v>0</v>
      </c>
    </row>
    <row r="516" spans="1:10" ht="12" thickTop="1" thickBot="1" x14ac:dyDescent="0.2">
      <c r="A516" s="138"/>
      <c r="B516" s="521"/>
      <c r="C516" s="138" t="s">
        <v>245</v>
      </c>
      <c r="D516" s="169">
        <f>SUM(D482:D515)</f>
        <v>0</v>
      </c>
      <c r="E516" s="169">
        <f>SUM(E482:E515)</f>
        <v>0</v>
      </c>
      <c r="F516" s="169">
        <f>SUM(F482:F515)</f>
        <v>0</v>
      </c>
      <c r="G516" s="169">
        <f>SUM(G482:G515)</f>
        <v>0</v>
      </c>
      <c r="H516" s="169">
        <f>SUM(H482:H515)</f>
        <v>0</v>
      </c>
      <c r="I516" s="169">
        <f t="shared" si="13"/>
        <v>0</v>
      </c>
    </row>
    <row r="517" spans="1:10" ht="11.25" thickTop="1" x14ac:dyDescent="0.15">
      <c r="A517" s="138"/>
      <c r="B517" s="138"/>
      <c r="C517" s="138"/>
      <c r="D517" s="14"/>
      <c r="E517" s="14"/>
      <c r="F517" s="14"/>
      <c r="G517" s="14"/>
      <c r="H517" s="14"/>
      <c r="I517" s="563"/>
    </row>
    <row r="518" spans="1:10" x14ac:dyDescent="0.15">
      <c r="A518" s="522" t="s">
        <v>246</v>
      </c>
      <c r="B518" s="138"/>
      <c r="C518" s="138"/>
      <c r="D518" s="14"/>
      <c r="E518" s="14"/>
      <c r="F518" s="14"/>
      <c r="G518" s="14"/>
      <c r="H518" s="14"/>
      <c r="I518" s="563"/>
    </row>
    <row r="519" spans="1:10" s="434" customFormat="1" x14ac:dyDescent="0.15">
      <c r="B519" s="523" t="s">
        <v>1577</v>
      </c>
      <c r="C519" s="524" t="s">
        <v>228</v>
      </c>
      <c r="D519" s="316">
        <v>0</v>
      </c>
      <c r="E519" s="316">
        <v>0</v>
      </c>
      <c r="F519" s="316">
        <v>0</v>
      </c>
      <c r="G519" s="528">
        <f t="array" ref="G519">SUM(IF(CertFund&amp;CertProg&amp;CertObj=RIGHT(LEFT($A$2,7),2)&amp;LEFT(A518,4)&amp;B519,CertSalary))</f>
        <v>0</v>
      </c>
      <c r="H519" s="527">
        <v>0</v>
      </c>
      <c r="I519" s="566">
        <f t="shared" ref="I519:I553" si="14">SUM(G519+H519)</f>
        <v>0</v>
      </c>
    </row>
    <row r="520" spans="1:10" s="434" customFormat="1" x14ac:dyDescent="0.15">
      <c r="B520" s="523" t="s">
        <v>1577</v>
      </c>
      <c r="C520" s="524" t="s">
        <v>510</v>
      </c>
      <c r="D520" s="316">
        <v>0</v>
      </c>
      <c r="E520" s="316">
        <v>0</v>
      </c>
      <c r="F520" s="316">
        <v>0</v>
      </c>
      <c r="G520" s="316">
        <v>0</v>
      </c>
      <c r="H520" s="527">
        <v>0</v>
      </c>
      <c r="I520" s="566">
        <f t="shared" si="14"/>
        <v>0</v>
      </c>
    </row>
    <row r="521" spans="1:10" s="434" customFormat="1" x14ac:dyDescent="0.15">
      <c r="A521" s="524"/>
      <c r="B521" s="523" t="s">
        <v>1578</v>
      </c>
      <c r="C521" s="524" t="s">
        <v>936</v>
      </c>
      <c r="D521" s="316">
        <v>0</v>
      </c>
      <c r="E521" s="316">
        <v>0</v>
      </c>
      <c r="F521" s="316">
        <v>0</v>
      </c>
      <c r="G521" s="529">
        <f t="array" ref="G521">SUM(IF(CertFund&amp;CertProg&amp;CertObj=RIGHT(LEFT($A$2,7),2)&amp;LEFT(A518,4)&amp;B519,CertBen))</f>
        <v>0</v>
      </c>
      <c r="H521" s="527">
        <v>0</v>
      </c>
      <c r="I521" s="566">
        <f t="shared" si="14"/>
        <v>0</v>
      </c>
    </row>
    <row r="522" spans="1:10" x14ac:dyDescent="0.15">
      <c r="A522" s="138"/>
      <c r="B522" s="521" t="s">
        <v>1578</v>
      </c>
      <c r="C522" s="138" t="s">
        <v>511</v>
      </c>
      <c r="D522" s="147">
        <v>0</v>
      </c>
      <c r="E522" s="147">
        <v>0</v>
      </c>
      <c r="F522" s="147">
        <v>0</v>
      </c>
      <c r="G522" s="147">
        <v>0</v>
      </c>
      <c r="H522" s="150">
        <v>0</v>
      </c>
      <c r="I522" s="567">
        <f t="shared" si="14"/>
        <v>0</v>
      </c>
      <c r="J522" s="434"/>
    </row>
    <row r="523" spans="1:10" x14ac:dyDescent="0.15">
      <c r="A523" s="138"/>
      <c r="B523" s="521" t="s">
        <v>1579</v>
      </c>
      <c r="C523" s="138" t="s">
        <v>118</v>
      </c>
      <c r="D523" s="144">
        <v>0</v>
      </c>
      <c r="E523" s="144">
        <v>0</v>
      </c>
      <c r="F523" s="144">
        <v>0</v>
      </c>
      <c r="G523" s="291">
        <v>0</v>
      </c>
      <c r="H523" s="150">
        <v>0</v>
      </c>
      <c r="I523" s="567">
        <f t="shared" si="14"/>
        <v>0</v>
      </c>
    </row>
    <row r="524" spans="1:10" x14ac:dyDescent="0.15">
      <c r="A524" s="138"/>
      <c r="B524" s="521" t="s">
        <v>1580</v>
      </c>
      <c r="C524" s="138" t="s">
        <v>119</v>
      </c>
      <c r="D524" s="144">
        <v>0</v>
      </c>
      <c r="E524" s="144">
        <v>0</v>
      </c>
      <c r="F524" s="144">
        <v>0</v>
      </c>
      <c r="G524" s="291">
        <v>0</v>
      </c>
      <c r="H524" s="150">
        <v>0</v>
      </c>
      <c r="I524" s="567">
        <f t="shared" si="14"/>
        <v>0</v>
      </c>
    </row>
    <row r="525" spans="1:10" x14ac:dyDescent="0.15">
      <c r="A525" s="138"/>
      <c r="B525" s="521" t="s">
        <v>120</v>
      </c>
      <c r="C525" s="138" t="s">
        <v>121</v>
      </c>
      <c r="D525" s="144">
        <v>0</v>
      </c>
      <c r="E525" s="144">
        <v>0</v>
      </c>
      <c r="F525" s="144">
        <v>0</v>
      </c>
      <c r="G525" s="291">
        <v>0</v>
      </c>
      <c r="H525" s="150">
        <v>0</v>
      </c>
      <c r="I525" s="567">
        <f t="shared" si="14"/>
        <v>0</v>
      </c>
    </row>
    <row r="526" spans="1:10" x14ac:dyDescent="0.15">
      <c r="A526" s="138"/>
      <c r="B526" s="521" t="s">
        <v>122</v>
      </c>
      <c r="C526" s="138" t="s">
        <v>123</v>
      </c>
      <c r="D526" s="144">
        <v>0</v>
      </c>
      <c r="E526" s="144">
        <v>0</v>
      </c>
      <c r="F526" s="144">
        <v>0</v>
      </c>
      <c r="G526" s="291">
        <v>0</v>
      </c>
      <c r="H526" s="150">
        <v>0</v>
      </c>
      <c r="I526" s="567">
        <f t="shared" si="14"/>
        <v>0</v>
      </c>
    </row>
    <row r="527" spans="1:10" x14ac:dyDescent="0.15">
      <c r="A527" s="138"/>
      <c r="B527" s="521" t="s">
        <v>1581</v>
      </c>
      <c r="C527" s="138" t="s">
        <v>124</v>
      </c>
      <c r="D527" s="144">
        <v>0</v>
      </c>
      <c r="E527" s="144">
        <v>0</v>
      </c>
      <c r="F527" s="144">
        <v>0</v>
      </c>
      <c r="G527" s="291">
        <v>0</v>
      </c>
      <c r="H527" s="150">
        <v>0</v>
      </c>
      <c r="I527" s="567">
        <f t="shared" si="14"/>
        <v>0</v>
      </c>
    </row>
    <row r="528" spans="1:10" x14ac:dyDescent="0.15">
      <c r="A528" s="138"/>
      <c r="B528" s="521" t="s">
        <v>127</v>
      </c>
      <c r="C528" s="138" t="s">
        <v>134</v>
      </c>
      <c r="D528" s="144">
        <v>0</v>
      </c>
      <c r="E528" s="144">
        <v>0</v>
      </c>
      <c r="F528" s="144">
        <v>0</v>
      </c>
      <c r="G528" s="291">
        <v>0</v>
      </c>
      <c r="H528" s="150">
        <v>0</v>
      </c>
      <c r="I528" s="567">
        <f t="shared" si="14"/>
        <v>0</v>
      </c>
    </row>
    <row r="529" spans="1:9" x14ac:dyDescent="0.15">
      <c r="A529" s="138"/>
      <c r="B529" s="521" t="s">
        <v>128</v>
      </c>
      <c r="C529" s="138" t="s">
        <v>135</v>
      </c>
      <c r="D529" s="144">
        <v>0</v>
      </c>
      <c r="E529" s="144">
        <v>0</v>
      </c>
      <c r="F529" s="144">
        <v>0</v>
      </c>
      <c r="G529" s="291">
        <v>0</v>
      </c>
      <c r="H529" s="150">
        <v>0</v>
      </c>
      <c r="I529" s="567">
        <f t="shared" si="14"/>
        <v>0</v>
      </c>
    </row>
    <row r="530" spans="1:9" x14ac:dyDescent="0.15">
      <c r="A530" s="138"/>
      <c r="B530" s="521" t="s">
        <v>132</v>
      </c>
      <c r="C530" s="138" t="s">
        <v>1617</v>
      </c>
      <c r="D530" s="144">
        <v>0</v>
      </c>
      <c r="E530" s="144">
        <v>0</v>
      </c>
      <c r="F530" s="144">
        <v>0</v>
      </c>
      <c r="G530" s="291">
        <v>0</v>
      </c>
      <c r="H530" s="150">
        <v>0</v>
      </c>
      <c r="I530" s="567">
        <f t="shared" si="14"/>
        <v>0</v>
      </c>
    </row>
    <row r="531" spans="1:9" x14ac:dyDescent="0.15">
      <c r="A531" s="138"/>
      <c r="B531" s="521" t="s">
        <v>1618</v>
      </c>
      <c r="C531" s="138" t="s">
        <v>836</v>
      </c>
      <c r="D531" s="144">
        <v>0</v>
      </c>
      <c r="E531" s="144">
        <v>0</v>
      </c>
      <c r="F531" s="144">
        <v>0</v>
      </c>
      <c r="G531" s="291">
        <v>0</v>
      </c>
      <c r="H531" s="150">
        <v>0</v>
      </c>
      <c r="I531" s="567">
        <f t="shared" si="14"/>
        <v>0</v>
      </c>
    </row>
    <row r="532" spans="1:9" x14ac:dyDescent="0.15">
      <c r="A532" s="138"/>
      <c r="B532" s="521" t="s">
        <v>1619</v>
      </c>
      <c r="C532" s="138" t="s">
        <v>837</v>
      </c>
      <c r="D532" s="144">
        <v>0</v>
      </c>
      <c r="E532" s="144">
        <v>0</v>
      </c>
      <c r="F532" s="144">
        <v>0</v>
      </c>
      <c r="G532" s="291">
        <v>0</v>
      </c>
      <c r="H532" s="150">
        <v>0</v>
      </c>
      <c r="I532" s="567">
        <f t="shared" si="14"/>
        <v>0</v>
      </c>
    </row>
    <row r="533" spans="1:9" x14ac:dyDescent="0.15">
      <c r="A533" s="138"/>
      <c r="B533" s="521" t="s">
        <v>1620</v>
      </c>
      <c r="C533" s="138" t="s">
        <v>838</v>
      </c>
      <c r="D533" s="144">
        <v>0</v>
      </c>
      <c r="E533" s="144">
        <v>0</v>
      </c>
      <c r="F533" s="144">
        <v>0</v>
      </c>
      <c r="G533" s="291">
        <v>0</v>
      </c>
      <c r="H533" s="150">
        <v>0</v>
      </c>
      <c r="I533" s="567">
        <f t="shared" si="14"/>
        <v>0</v>
      </c>
    </row>
    <row r="534" spans="1:9" x14ac:dyDescent="0.15">
      <c r="A534" s="138"/>
      <c r="B534" s="521" t="s">
        <v>1621</v>
      </c>
      <c r="C534" s="138" t="s">
        <v>839</v>
      </c>
      <c r="D534" s="144">
        <v>0</v>
      </c>
      <c r="E534" s="144">
        <v>0</v>
      </c>
      <c r="F534" s="144">
        <v>0</v>
      </c>
      <c r="G534" s="291">
        <v>0</v>
      </c>
      <c r="H534" s="150">
        <v>0</v>
      </c>
      <c r="I534" s="567">
        <f t="shared" si="14"/>
        <v>0</v>
      </c>
    </row>
    <row r="535" spans="1:9" x14ac:dyDescent="0.15">
      <c r="A535" s="138"/>
      <c r="B535" s="521" t="s">
        <v>1622</v>
      </c>
      <c r="C535" s="138" t="s">
        <v>190</v>
      </c>
      <c r="D535" s="144">
        <v>0</v>
      </c>
      <c r="E535" s="144">
        <v>0</v>
      </c>
      <c r="F535" s="144">
        <v>0</v>
      </c>
      <c r="G535" s="291">
        <v>0</v>
      </c>
      <c r="H535" s="150">
        <v>0</v>
      </c>
      <c r="I535" s="567">
        <f t="shared" si="14"/>
        <v>0</v>
      </c>
    </row>
    <row r="536" spans="1:9" x14ac:dyDescent="0.15">
      <c r="A536" s="138"/>
      <c r="B536" s="521" t="s">
        <v>1623</v>
      </c>
      <c r="C536" s="138" t="s">
        <v>191</v>
      </c>
      <c r="D536" s="144">
        <v>0</v>
      </c>
      <c r="E536" s="144">
        <v>0</v>
      </c>
      <c r="F536" s="144">
        <v>0</v>
      </c>
      <c r="G536" s="291">
        <v>0</v>
      </c>
      <c r="H536" s="150">
        <v>0</v>
      </c>
      <c r="I536" s="567">
        <f t="shared" si="14"/>
        <v>0</v>
      </c>
    </row>
    <row r="537" spans="1:9" x14ac:dyDescent="0.15">
      <c r="A537" s="138"/>
      <c r="B537" s="521" t="s">
        <v>1624</v>
      </c>
      <c r="C537" s="138" t="s">
        <v>840</v>
      </c>
      <c r="D537" s="144">
        <v>0</v>
      </c>
      <c r="E537" s="144">
        <v>0</v>
      </c>
      <c r="F537" s="144">
        <v>0</v>
      </c>
      <c r="G537" s="291">
        <v>0</v>
      </c>
      <c r="H537" s="150">
        <v>0</v>
      </c>
      <c r="I537" s="567">
        <f t="shared" si="14"/>
        <v>0</v>
      </c>
    </row>
    <row r="538" spans="1:9" x14ac:dyDescent="0.15">
      <c r="A538" s="138"/>
      <c r="B538" s="521" t="s">
        <v>1625</v>
      </c>
      <c r="C538" s="138" t="s">
        <v>842</v>
      </c>
      <c r="D538" s="144">
        <v>0</v>
      </c>
      <c r="E538" s="144">
        <v>0</v>
      </c>
      <c r="F538" s="144">
        <v>0</v>
      </c>
      <c r="G538" s="291">
        <v>0</v>
      </c>
      <c r="H538" s="150">
        <v>0</v>
      </c>
      <c r="I538" s="567">
        <f t="shared" si="14"/>
        <v>0</v>
      </c>
    </row>
    <row r="539" spans="1:9" x14ac:dyDescent="0.15">
      <c r="A539" s="138"/>
      <c r="B539" s="521" t="s">
        <v>843</v>
      </c>
      <c r="C539" s="138" t="s">
        <v>848</v>
      </c>
      <c r="D539" s="144">
        <v>0</v>
      </c>
      <c r="E539" s="144">
        <v>0</v>
      </c>
      <c r="F539" s="144">
        <v>0</v>
      </c>
      <c r="G539" s="291">
        <v>0</v>
      </c>
      <c r="H539" s="150">
        <v>0</v>
      </c>
      <c r="I539" s="567">
        <f t="shared" si="14"/>
        <v>0</v>
      </c>
    </row>
    <row r="540" spans="1:9" x14ac:dyDescent="0.15">
      <c r="A540" s="138"/>
      <c r="B540" s="521" t="s">
        <v>844</v>
      </c>
      <c r="C540" s="138" t="s">
        <v>153</v>
      </c>
      <c r="D540" s="144">
        <v>0</v>
      </c>
      <c r="E540" s="144">
        <v>0</v>
      </c>
      <c r="F540" s="144">
        <v>0</v>
      </c>
      <c r="G540" s="291">
        <v>0</v>
      </c>
      <c r="H540" s="150">
        <v>0</v>
      </c>
      <c r="I540" s="567">
        <f t="shared" si="14"/>
        <v>0</v>
      </c>
    </row>
    <row r="541" spans="1:9" x14ac:dyDescent="0.15">
      <c r="A541" s="138"/>
      <c r="B541" s="521" t="s">
        <v>845</v>
      </c>
      <c r="C541" s="138" t="s">
        <v>154</v>
      </c>
      <c r="D541" s="144">
        <v>0</v>
      </c>
      <c r="E541" s="144">
        <v>0</v>
      </c>
      <c r="F541" s="144">
        <v>0</v>
      </c>
      <c r="G541" s="291">
        <v>0</v>
      </c>
      <c r="H541" s="150">
        <v>0</v>
      </c>
      <c r="I541" s="567">
        <f t="shared" si="14"/>
        <v>0</v>
      </c>
    </row>
    <row r="542" spans="1:9" x14ac:dyDescent="0.15">
      <c r="A542" s="138"/>
      <c r="B542" s="521" t="s">
        <v>846</v>
      </c>
      <c r="C542" s="138" t="s">
        <v>155</v>
      </c>
      <c r="D542" s="144">
        <v>0</v>
      </c>
      <c r="E542" s="144">
        <v>0</v>
      </c>
      <c r="F542" s="144">
        <v>0</v>
      </c>
      <c r="G542" s="291">
        <v>0</v>
      </c>
      <c r="H542" s="150">
        <v>0</v>
      </c>
      <c r="I542" s="567">
        <f t="shared" si="14"/>
        <v>0</v>
      </c>
    </row>
    <row r="543" spans="1:9" x14ac:dyDescent="0.15">
      <c r="A543" s="138"/>
      <c r="B543" s="521" t="s">
        <v>1582</v>
      </c>
      <c r="C543" s="138" t="s">
        <v>156</v>
      </c>
      <c r="D543" s="144">
        <v>0</v>
      </c>
      <c r="E543" s="144">
        <v>0</v>
      </c>
      <c r="F543" s="144">
        <v>0</v>
      </c>
      <c r="G543" s="291">
        <v>0</v>
      </c>
      <c r="H543" s="150">
        <v>0</v>
      </c>
      <c r="I543" s="567">
        <f t="shared" si="14"/>
        <v>0</v>
      </c>
    </row>
    <row r="544" spans="1:9" x14ac:dyDescent="0.15">
      <c r="A544" s="138"/>
      <c r="B544" s="521" t="s">
        <v>847</v>
      </c>
      <c r="C544" s="138" t="s">
        <v>157</v>
      </c>
      <c r="D544" s="144">
        <v>0</v>
      </c>
      <c r="E544" s="144">
        <v>0</v>
      </c>
      <c r="F544" s="144">
        <v>0</v>
      </c>
      <c r="G544" s="291">
        <v>0</v>
      </c>
      <c r="H544" s="150">
        <v>0</v>
      </c>
      <c r="I544" s="567">
        <f t="shared" si="14"/>
        <v>0</v>
      </c>
    </row>
    <row r="545" spans="1:10" x14ac:dyDescent="0.15">
      <c r="A545" s="138"/>
      <c r="B545" s="521" t="s">
        <v>1583</v>
      </c>
      <c r="C545" s="138" t="s">
        <v>160</v>
      </c>
      <c r="D545" s="144">
        <v>0</v>
      </c>
      <c r="E545" s="144">
        <v>0</v>
      </c>
      <c r="F545" s="144">
        <v>0</v>
      </c>
      <c r="G545" s="291">
        <v>0</v>
      </c>
      <c r="H545" s="150">
        <v>0</v>
      </c>
      <c r="I545" s="567">
        <f t="shared" si="14"/>
        <v>0</v>
      </c>
    </row>
    <row r="546" spans="1:10" x14ac:dyDescent="0.15">
      <c r="A546" s="138"/>
      <c r="B546" s="521" t="s">
        <v>634</v>
      </c>
      <c r="C546" s="138" t="s">
        <v>165</v>
      </c>
      <c r="D546" s="144">
        <v>0</v>
      </c>
      <c r="E546" s="144">
        <v>0</v>
      </c>
      <c r="F546" s="144">
        <v>0</v>
      </c>
      <c r="G546" s="291">
        <v>0</v>
      </c>
      <c r="H546" s="150">
        <v>0</v>
      </c>
      <c r="I546" s="567">
        <f t="shared" si="14"/>
        <v>0</v>
      </c>
    </row>
    <row r="547" spans="1:10" x14ac:dyDescent="0.15">
      <c r="A547" s="138"/>
      <c r="B547" s="521" t="s">
        <v>630</v>
      </c>
      <c r="C547" s="138" t="s">
        <v>172</v>
      </c>
      <c r="D547" s="144">
        <v>0</v>
      </c>
      <c r="E547" s="144">
        <v>0</v>
      </c>
      <c r="F547" s="144">
        <v>0</v>
      </c>
      <c r="G547" s="291">
        <v>0</v>
      </c>
      <c r="H547" s="150">
        <v>0</v>
      </c>
      <c r="I547" s="567">
        <f t="shared" si="14"/>
        <v>0</v>
      </c>
    </row>
    <row r="548" spans="1:10" x14ac:dyDescent="0.15">
      <c r="A548" s="138"/>
      <c r="B548" s="650" t="s">
        <v>631</v>
      </c>
      <c r="C548" s="651" t="s">
        <v>173</v>
      </c>
      <c r="D548" s="144">
        <v>0</v>
      </c>
      <c r="E548" s="144">
        <v>0</v>
      </c>
      <c r="F548" s="144">
        <v>0</v>
      </c>
      <c r="G548" s="291">
        <v>0</v>
      </c>
      <c r="H548" s="150">
        <v>0</v>
      </c>
      <c r="I548" s="567">
        <f t="shared" si="14"/>
        <v>0</v>
      </c>
    </row>
    <row r="549" spans="1:10" x14ac:dyDescent="0.15">
      <c r="A549" s="138"/>
      <c r="B549" s="521" t="s">
        <v>1584</v>
      </c>
      <c r="C549" s="138" t="s">
        <v>178</v>
      </c>
      <c r="D549" s="144">
        <v>0</v>
      </c>
      <c r="E549" s="144">
        <v>0</v>
      </c>
      <c r="F549" s="144">
        <v>0</v>
      </c>
      <c r="G549" s="291">
        <v>0</v>
      </c>
      <c r="H549" s="150">
        <v>0</v>
      </c>
      <c r="I549" s="567">
        <f t="shared" si="14"/>
        <v>0</v>
      </c>
    </row>
    <row r="550" spans="1:10" x14ac:dyDescent="0.15">
      <c r="A550" s="138"/>
      <c r="B550" s="521" t="s">
        <v>174</v>
      </c>
      <c r="C550" s="138" t="s">
        <v>179</v>
      </c>
      <c r="D550" s="144">
        <v>0</v>
      </c>
      <c r="E550" s="144">
        <v>0</v>
      </c>
      <c r="F550" s="144">
        <v>0</v>
      </c>
      <c r="G550" s="291">
        <v>0</v>
      </c>
      <c r="H550" s="150">
        <v>0</v>
      </c>
      <c r="I550" s="567">
        <f t="shared" si="14"/>
        <v>0</v>
      </c>
    </row>
    <row r="551" spans="1:10" x14ac:dyDescent="0.15">
      <c r="A551" s="138"/>
      <c r="B551" s="521" t="s">
        <v>175</v>
      </c>
      <c r="C551" s="138" t="s">
        <v>180</v>
      </c>
      <c r="D551" s="144">
        <v>0</v>
      </c>
      <c r="E551" s="144">
        <v>0</v>
      </c>
      <c r="F551" s="144">
        <v>0</v>
      </c>
      <c r="G551" s="291">
        <v>0</v>
      </c>
      <c r="H551" s="150">
        <v>0</v>
      </c>
      <c r="I551" s="567">
        <f t="shared" si="14"/>
        <v>0</v>
      </c>
    </row>
    <row r="552" spans="1:10" ht="11.25" thickBot="1" x14ac:dyDescent="0.2">
      <c r="A552" s="138"/>
      <c r="B552" s="521" t="s">
        <v>176</v>
      </c>
      <c r="C552" s="138" t="s">
        <v>181</v>
      </c>
      <c r="D552" s="144">
        <v>0</v>
      </c>
      <c r="E552" s="144">
        <v>0</v>
      </c>
      <c r="F552" s="144">
        <v>0</v>
      </c>
      <c r="G552" s="291">
        <v>0</v>
      </c>
      <c r="H552" s="150">
        <v>0</v>
      </c>
      <c r="I552" s="567">
        <f t="shared" si="14"/>
        <v>0</v>
      </c>
    </row>
    <row r="553" spans="1:10" ht="12" thickTop="1" thickBot="1" x14ac:dyDescent="0.2">
      <c r="A553" s="138"/>
      <c r="B553" s="521"/>
      <c r="C553" s="138" t="s">
        <v>138</v>
      </c>
      <c r="D553" s="603">
        <f>SUM(D519:D552)</f>
        <v>0</v>
      </c>
      <c r="E553" s="603">
        <f>SUM(E519:E552)</f>
        <v>0</v>
      </c>
      <c r="F553" s="603">
        <f>SUM(F519:F552)</f>
        <v>0</v>
      </c>
      <c r="G553" s="603">
        <f>SUM(G519:G552)</f>
        <v>0</v>
      </c>
      <c r="H553" s="603">
        <f>SUM(H519:H552)</f>
        <v>0</v>
      </c>
      <c r="I553" s="169">
        <f t="shared" si="14"/>
        <v>0</v>
      </c>
    </row>
    <row r="554" spans="1:10" ht="11.25" thickTop="1" x14ac:dyDescent="0.15">
      <c r="A554" s="138"/>
      <c r="B554" s="138"/>
      <c r="C554" s="138"/>
      <c r="D554" s="14"/>
      <c r="E554" s="14"/>
      <c r="F554" s="14"/>
      <c r="G554" s="14"/>
      <c r="H554" s="14"/>
      <c r="I554" s="563"/>
    </row>
    <row r="555" spans="1:10" x14ac:dyDescent="0.15">
      <c r="A555" s="522" t="s">
        <v>139</v>
      </c>
      <c r="B555" s="138"/>
      <c r="C555" s="138"/>
      <c r="D555" s="14"/>
      <c r="E555" s="14"/>
      <c r="F555" s="14"/>
      <c r="G555" s="14"/>
      <c r="H555" s="14"/>
      <c r="I555" s="563"/>
    </row>
    <row r="556" spans="1:10" s="434" customFormat="1" x14ac:dyDescent="0.15">
      <c r="B556" s="523" t="s">
        <v>1577</v>
      </c>
      <c r="C556" s="524" t="s">
        <v>228</v>
      </c>
      <c r="D556" s="316">
        <v>0</v>
      </c>
      <c r="E556" s="316">
        <v>0</v>
      </c>
      <c r="F556" s="316">
        <v>0</v>
      </c>
      <c r="G556" s="528">
        <f t="array" ref="G556">SUM(IF(CertFund&amp;CertProg&amp;CertObj=RIGHT(LEFT($A$2,7),2)&amp;LEFT(A555,4)&amp;B556,CertSalary))</f>
        <v>0</v>
      </c>
      <c r="H556" s="527">
        <v>0</v>
      </c>
      <c r="I556" s="566">
        <f t="shared" ref="I556:I589" si="15">SUM(G556+H556)</f>
        <v>0</v>
      </c>
    </row>
    <row r="557" spans="1:10" s="434" customFormat="1" x14ac:dyDescent="0.15">
      <c r="B557" s="523" t="s">
        <v>1577</v>
      </c>
      <c r="C557" s="524" t="s">
        <v>510</v>
      </c>
      <c r="D557" s="316">
        <v>0</v>
      </c>
      <c r="E557" s="316">
        <v>0</v>
      </c>
      <c r="F557" s="316">
        <v>0</v>
      </c>
      <c r="G557" s="316">
        <v>0</v>
      </c>
      <c r="H557" s="527">
        <v>0</v>
      </c>
      <c r="I557" s="566">
        <f t="shared" si="15"/>
        <v>0</v>
      </c>
    </row>
    <row r="558" spans="1:10" s="434" customFormat="1" x14ac:dyDescent="0.15">
      <c r="A558" s="524"/>
      <c r="B558" s="523" t="s">
        <v>1578</v>
      </c>
      <c r="C558" s="524" t="s">
        <v>936</v>
      </c>
      <c r="D558" s="316">
        <v>0</v>
      </c>
      <c r="E558" s="316">
        <v>0</v>
      </c>
      <c r="F558" s="316">
        <v>0</v>
      </c>
      <c r="G558" s="529">
        <f t="array" ref="G558">SUM(IF(CertFund&amp;CertProg&amp;CertObj=RIGHT(LEFT($A$2,7),2)&amp;LEFT(A555,4)&amp;B556,CertBen))</f>
        <v>0</v>
      </c>
      <c r="H558" s="527">
        <v>0</v>
      </c>
      <c r="I558" s="566">
        <f t="shared" si="15"/>
        <v>0</v>
      </c>
    </row>
    <row r="559" spans="1:10" x14ac:dyDescent="0.15">
      <c r="A559" s="138"/>
      <c r="B559" s="521" t="s">
        <v>1578</v>
      </c>
      <c r="C559" s="138" t="s">
        <v>511</v>
      </c>
      <c r="D559" s="147">
        <v>0</v>
      </c>
      <c r="E559" s="147">
        <v>0</v>
      </c>
      <c r="F559" s="147">
        <v>0</v>
      </c>
      <c r="G559" s="147">
        <v>0</v>
      </c>
      <c r="H559" s="150">
        <v>0</v>
      </c>
      <c r="I559" s="567">
        <f t="shared" si="15"/>
        <v>0</v>
      </c>
      <c r="J559" s="434"/>
    </row>
    <row r="560" spans="1:10" x14ac:dyDescent="0.15">
      <c r="A560" s="138"/>
      <c r="B560" s="521" t="s">
        <v>1579</v>
      </c>
      <c r="C560" s="138" t="s">
        <v>118</v>
      </c>
      <c r="D560" s="144">
        <v>0</v>
      </c>
      <c r="E560" s="144">
        <v>0</v>
      </c>
      <c r="F560" s="144">
        <v>0</v>
      </c>
      <c r="G560" s="291">
        <v>0</v>
      </c>
      <c r="H560" s="150">
        <v>0</v>
      </c>
      <c r="I560" s="567">
        <f t="shared" si="15"/>
        <v>0</v>
      </c>
    </row>
    <row r="561" spans="1:9" x14ac:dyDescent="0.15">
      <c r="A561" s="138"/>
      <c r="B561" s="521" t="s">
        <v>1580</v>
      </c>
      <c r="C561" s="138" t="s">
        <v>119</v>
      </c>
      <c r="D561" s="144">
        <v>0</v>
      </c>
      <c r="E561" s="144">
        <v>0</v>
      </c>
      <c r="F561" s="144">
        <v>0</v>
      </c>
      <c r="G561" s="291">
        <v>0</v>
      </c>
      <c r="H561" s="150">
        <v>0</v>
      </c>
      <c r="I561" s="567">
        <f t="shared" si="15"/>
        <v>0</v>
      </c>
    </row>
    <row r="562" spans="1:9" x14ac:dyDescent="0.15">
      <c r="A562" s="138"/>
      <c r="B562" s="521" t="s">
        <v>120</v>
      </c>
      <c r="C562" s="138" t="s">
        <v>121</v>
      </c>
      <c r="D562" s="144">
        <v>0</v>
      </c>
      <c r="E562" s="144">
        <v>0</v>
      </c>
      <c r="F562" s="144">
        <v>0</v>
      </c>
      <c r="G562" s="291">
        <v>0</v>
      </c>
      <c r="H562" s="150">
        <v>0</v>
      </c>
      <c r="I562" s="567">
        <f t="shared" si="15"/>
        <v>0</v>
      </c>
    </row>
    <row r="563" spans="1:9" x14ac:dyDescent="0.15">
      <c r="A563" s="138"/>
      <c r="B563" s="521" t="s">
        <v>122</v>
      </c>
      <c r="C563" s="138" t="s">
        <v>123</v>
      </c>
      <c r="D563" s="144">
        <v>0</v>
      </c>
      <c r="E563" s="144">
        <v>0</v>
      </c>
      <c r="F563" s="144">
        <v>0</v>
      </c>
      <c r="G563" s="291">
        <v>0</v>
      </c>
      <c r="H563" s="150">
        <v>0</v>
      </c>
      <c r="I563" s="567">
        <f t="shared" si="15"/>
        <v>0</v>
      </c>
    </row>
    <row r="564" spans="1:9" x14ac:dyDescent="0.15">
      <c r="A564" s="138"/>
      <c r="B564" s="521" t="s">
        <v>1581</v>
      </c>
      <c r="C564" s="138" t="s">
        <v>124</v>
      </c>
      <c r="D564" s="144">
        <v>0</v>
      </c>
      <c r="E564" s="144">
        <v>0</v>
      </c>
      <c r="F564" s="144">
        <v>0</v>
      </c>
      <c r="G564" s="291">
        <v>0</v>
      </c>
      <c r="H564" s="150">
        <v>0</v>
      </c>
      <c r="I564" s="567">
        <f t="shared" si="15"/>
        <v>0</v>
      </c>
    </row>
    <row r="565" spans="1:9" x14ac:dyDescent="0.15">
      <c r="A565" s="138"/>
      <c r="B565" s="521" t="s">
        <v>127</v>
      </c>
      <c r="C565" s="138" t="s">
        <v>134</v>
      </c>
      <c r="D565" s="144">
        <v>0</v>
      </c>
      <c r="E565" s="144">
        <v>0</v>
      </c>
      <c r="F565" s="144">
        <v>0</v>
      </c>
      <c r="G565" s="291">
        <v>0</v>
      </c>
      <c r="H565" s="150">
        <v>0</v>
      </c>
      <c r="I565" s="567">
        <f t="shared" si="15"/>
        <v>0</v>
      </c>
    </row>
    <row r="566" spans="1:9" x14ac:dyDescent="0.15">
      <c r="A566" s="138"/>
      <c r="B566" s="521" t="s">
        <v>128</v>
      </c>
      <c r="C566" s="138" t="s">
        <v>135</v>
      </c>
      <c r="D566" s="144">
        <v>0</v>
      </c>
      <c r="E566" s="144">
        <v>0</v>
      </c>
      <c r="F566" s="144">
        <v>0</v>
      </c>
      <c r="G566" s="291">
        <v>0</v>
      </c>
      <c r="H566" s="150">
        <v>0</v>
      </c>
      <c r="I566" s="567">
        <f t="shared" si="15"/>
        <v>0</v>
      </c>
    </row>
    <row r="567" spans="1:9" x14ac:dyDescent="0.15">
      <c r="A567" s="138"/>
      <c r="B567" s="521" t="s">
        <v>132</v>
      </c>
      <c r="C567" s="138" t="s">
        <v>1617</v>
      </c>
      <c r="D567" s="144">
        <v>0</v>
      </c>
      <c r="E567" s="144">
        <v>0</v>
      </c>
      <c r="F567" s="144">
        <v>0</v>
      </c>
      <c r="G567" s="291">
        <v>0</v>
      </c>
      <c r="H567" s="150">
        <v>0</v>
      </c>
      <c r="I567" s="567">
        <f t="shared" si="15"/>
        <v>0</v>
      </c>
    </row>
    <row r="568" spans="1:9" x14ac:dyDescent="0.15">
      <c r="A568" s="138"/>
      <c r="B568" s="521" t="s">
        <v>1618</v>
      </c>
      <c r="C568" s="138" t="s">
        <v>836</v>
      </c>
      <c r="D568" s="144">
        <v>0</v>
      </c>
      <c r="E568" s="144">
        <v>0</v>
      </c>
      <c r="F568" s="144">
        <v>0</v>
      </c>
      <c r="G568" s="291">
        <v>0</v>
      </c>
      <c r="H568" s="150">
        <v>0</v>
      </c>
      <c r="I568" s="567">
        <f t="shared" si="15"/>
        <v>0</v>
      </c>
    </row>
    <row r="569" spans="1:9" x14ac:dyDescent="0.15">
      <c r="A569" s="138"/>
      <c r="B569" s="521" t="s">
        <v>1619</v>
      </c>
      <c r="C569" s="138" t="s">
        <v>837</v>
      </c>
      <c r="D569" s="144">
        <v>0</v>
      </c>
      <c r="E569" s="144">
        <v>0</v>
      </c>
      <c r="F569" s="144">
        <v>0</v>
      </c>
      <c r="G569" s="291">
        <v>0</v>
      </c>
      <c r="H569" s="150">
        <v>0</v>
      </c>
      <c r="I569" s="567">
        <f t="shared" si="15"/>
        <v>0</v>
      </c>
    </row>
    <row r="570" spans="1:9" x14ac:dyDescent="0.15">
      <c r="A570" s="138"/>
      <c r="B570" s="521" t="s">
        <v>1620</v>
      </c>
      <c r="C570" s="138" t="s">
        <v>838</v>
      </c>
      <c r="D570" s="144">
        <v>0</v>
      </c>
      <c r="E570" s="144">
        <v>0</v>
      </c>
      <c r="F570" s="144">
        <v>0</v>
      </c>
      <c r="G570" s="291">
        <v>0</v>
      </c>
      <c r="H570" s="150">
        <v>0</v>
      </c>
      <c r="I570" s="567">
        <f t="shared" si="15"/>
        <v>0</v>
      </c>
    </row>
    <row r="571" spans="1:9" x14ac:dyDescent="0.15">
      <c r="A571" s="138"/>
      <c r="B571" s="521" t="s">
        <v>1621</v>
      </c>
      <c r="C571" s="138" t="s">
        <v>839</v>
      </c>
      <c r="D571" s="144">
        <v>0</v>
      </c>
      <c r="E571" s="144">
        <v>0</v>
      </c>
      <c r="F571" s="144">
        <v>0</v>
      </c>
      <c r="G571" s="291">
        <v>0</v>
      </c>
      <c r="H571" s="150">
        <v>0</v>
      </c>
      <c r="I571" s="567">
        <f t="shared" si="15"/>
        <v>0</v>
      </c>
    </row>
    <row r="572" spans="1:9" x14ac:dyDescent="0.15">
      <c r="A572" s="138"/>
      <c r="B572" s="521" t="s">
        <v>1622</v>
      </c>
      <c r="C572" s="138" t="s">
        <v>190</v>
      </c>
      <c r="D572" s="144">
        <v>0</v>
      </c>
      <c r="E572" s="144">
        <v>0</v>
      </c>
      <c r="F572" s="144">
        <v>0</v>
      </c>
      <c r="G572" s="291">
        <v>0</v>
      </c>
      <c r="H572" s="150">
        <v>0</v>
      </c>
      <c r="I572" s="567">
        <f t="shared" si="15"/>
        <v>0</v>
      </c>
    </row>
    <row r="573" spans="1:9" x14ac:dyDescent="0.15">
      <c r="A573" s="138"/>
      <c r="B573" s="521" t="s">
        <v>1623</v>
      </c>
      <c r="C573" s="138" t="s">
        <v>191</v>
      </c>
      <c r="D573" s="144">
        <v>0</v>
      </c>
      <c r="E573" s="144">
        <v>0</v>
      </c>
      <c r="F573" s="144">
        <v>0</v>
      </c>
      <c r="G573" s="291">
        <v>0</v>
      </c>
      <c r="H573" s="150">
        <v>0</v>
      </c>
      <c r="I573" s="567">
        <f t="shared" si="15"/>
        <v>0</v>
      </c>
    </row>
    <row r="574" spans="1:9" x14ac:dyDescent="0.15">
      <c r="A574" s="138"/>
      <c r="B574" s="521" t="s">
        <v>1624</v>
      </c>
      <c r="C574" s="138" t="s">
        <v>840</v>
      </c>
      <c r="D574" s="144">
        <v>0</v>
      </c>
      <c r="E574" s="144">
        <v>0</v>
      </c>
      <c r="F574" s="144">
        <v>0</v>
      </c>
      <c r="G574" s="291">
        <v>0</v>
      </c>
      <c r="H574" s="150">
        <v>0</v>
      </c>
      <c r="I574" s="567">
        <f t="shared" si="15"/>
        <v>0</v>
      </c>
    </row>
    <row r="575" spans="1:9" x14ac:dyDescent="0.15">
      <c r="A575" s="138"/>
      <c r="B575" s="521" t="s">
        <v>1625</v>
      </c>
      <c r="C575" s="138" t="s">
        <v>842</v>
      </c>
      <c r="D575" s="144">
        <v>0</v>
      </c>
      <c r="E575" s="144">
        <v>0</v>
      </c>
      <c r="F575" s="144">
        <v>0</v>
      </c>
      <c r="G575" s="291">
        <v>0</v>
      </c>
      <c r="H575" s="150">
        <v>0</v>
      </c>
      <c r="I575" s="567">
        <f t="shared" si="15"/>
        <v>0</v>
      </c>
    </row>
    <row r="576" spans="1:9" x14ac:dyDescent="0.15">
      <c r="A576" s="138"/>
      <c r="B576" s="521" t="s">
        <v>843</v>
      </c>
      <c r="C576" s="138" t="s">
        <v>848</v>
      </c>
      <c r="D576" s="144">
        <v>0</v>
      </c>
      <c r="E576" s="144">
        <v>0</v>
      </c>
      <c r="F576" s="144">
        <v>0</v>
      </c>
      <c r="G576" s="291">
        <v>0</v>
      </c>
      <c r="H576" s="150">
        <v>0</v>
      </c>
      <c r="I576" s="567">
        <f t="shared" si="15"/>
        <v>0</v>
      </c>
    </row>
    <row r="577" spans="1:9" x14ac:dyDescent="0.15">
      <c r="A577" s="138"/>
      <c r="B577" s="521" t="s">
        <v>844</v>
      </c>
      <c r="C577" s="138" t="s">
        <v>153</v>
      </c>
      <c r="D577" s="144">
        <v>0</v>
      </c>
      <c r="E577" s="144">
        <v>0</v>
      </c>
      <c r="F577" s="144">
        <v>0</v>
      </c>
      <c r="G577" s="291">
        <v>0</v>
      </c>
      <c r="H577" s="150">
        <v>0</v>
      </c>
      <c r="I577" s="567">
        <f t="shared" si="15"/>
        <v>0</v>
      </c>
    </row>
    <row r="578" spans="1:9" x14ac:dyDescent="0.15">
      <c r="A578" s="138"/>
      <c r="B578" s="521" t="s">
        <v>845</v>
      </c>
      <c r="C578" s="138" t="s">
        <v>154</v>
      </c>
      <c r="D578" s="144">
        <v>0</v>
      </c>
      <c r="E578" s="144">
        <v>0</v>
      </c>
      <c r="F578" s="144">
        <v>0</v>
      </c>
      <c r="G578" s="291">
        <v>0</v>
      </c>
      <c r="H578" s="150">
        <v>0</v>
      </c>
      <c r="I578" s="567">
        <f t="shared" si="15"/>
        <v>0</v>
      </c>
    </row>
    <row r="579" spans="1:9" x14ac:dyDescent="0.15">
      <c r="A579" s="138"/>
      <c r="B579" s="521" t="s">
        <v>846</v>
      </c>
      <c r="C579" s="138" t="s">
        <v>155</v>
      </c>
      <c r="D579" s="144">
        <v>0</v>
      </c>
      <c r="E579" s="144">
        <v>0</v>
      </c>
      <c r="F579" s="144">
        <v>0</v>
      </c>
      <c r="G579" s="291">
        <v>0</v>
      </c>
      <c r="H579" s="150">
        <v>0</v>
      </c>
      <c r="I579" s="567">
        <f t="shared" si="15"/>
        <v>0</v>
      </c>
    </row>
    <row r="580" spans="1:9" x14ac:dyDescent="0.15">
      <c r="A580" s="138"/>
      <c r="B580" s="521" t="s">
        <v>1582</v>
      </c>
      <c r="C580" s="138" t="s">
        <v>156</v>
      </c>
      <c r="D580" s="144">
        <v>0</v>
      </c>
      <c r="E580" s="144">
        <v>0</v>
      </c>
      <c r="F580" s="144">
        <v>0</v>
      </c>
      <c r="G580" s="291">
        <v>0</v>
      </c>
      <c r="H580" s="150">
        <v>0</v>
      </c>
      <c r="I580" s="567">
        <f t="shared" si="15"/>
        <v>0</v>
      </c>
    </row>
    <row r="581" spans="1:9" x14ac:dyDescent="0.15">
      <c r="A581" s="138"/>
      <c r="B581" s="521" t="s">
        <v>847</v>
      </c>
      <c r="C581" s="138" t="s">
        <v>157</v>
      </c>
      <c r="D581" s="144">
        <v>0</v>
      </c>
      <c r="E581" s="144">
        <v>0</v>
      </c>
      <c r="F581" s="144">
        <v>0</v>
      </c>
      <c r="G581" s="291">
        <v>0</v>
      </c>
      <c r="H581" s="150">
        <v>0</v>
      </c>
      <c r="I581" s="567">
        <f t="shared" si="15"/>
        <v>0</v>
      </c>
    </row>
    <row r="582" spans="1:9" x14ac:dyDescent="0.15">
      <c r="A582" s="138"/>
      <c r="B582" s="521" t="s">
        <v>1583</v>
      </c>
      <c r="C582" s="138" t="s">
        <v>160</v>
      </c>
      <c r="D582" s="144">
        <v>0</v>
      </c>
      <c r="E582" s="144">
        <v>0</v>
      </c>
      <c r="F582" s="144">
        <v>0</v>
      </c>
      <c r="G582" s="291">
        <v>0</v>
      </c>
      <c r="H582" s="150">
        <v>0</v>
      </c>
      <c r="I582" s="567">
        <f t="shared" si="15"/>
        <v>0</v>
      </c>
    </row>
    <row r="583" spans="1:9" x14ac:dyDescent="0.15">
      <c r="A583" s="138"/>
      <c r="B583" s="521" t="s">
        <v>634</v>
      </c>
      <c r="C583" s="138" t="s">
        <v>165</v>
      </c>
      <c r="D583" s="144">
        <v>0</v>
      </c>
      <c r="E583" s="144">
        <v>0</v>
      </c>
      <c r="F583" s="144">
        <v>0</v>
      </c>
      <c r="G583" s="291">
        <v>0</v>
      </c>
      <c r="H583" s="150">
        <v>0</v>
      </c>
      <c r="I583" s="567">
        <f t="shared" si="15"/>
        <v>0</v>
      </c>
    </row>
    <row r="584" spans="1:9" x14ac:dyDescent="0.15">
      <c r="A584" s="138"/>
      <c r="B584" s="521" t="s">
        <v>630</v>
      </c>
      <c r="C584" s="138" t="s">
        <v>172</v>
      </c>
      <c r="D584" s="144">
        <v>0</v>
      </c>
      <c r="E584" s="144">
        <v>0</v>
      </c>
      <c r="F584" s="144">
        <v>0</v>
      </c>
      <c r="G584" s="291">
        <v>0</v>
      </c>
      <c r="H584" s="150">
        <v>0</v>
      </c>
      <c r="I584" s="567">
        <f t="shared" si="15"/>
        <v>0</v>
      </c>
    </row>
    <row r="585" spans="1:9" x14ac:dyDescent="0.15">
      <c r="A585" s="138"/>
      <c r="B585" s="650" t="s">
        <v>631</v>
      </c>
      <c r="C585" s="651" t="s">
        <v>173</v>
      </c>
      <c r="D585" s="144">
        <v>0</v>
      </c>
      <c r="E585" s="144">
        <v>0</v>
      </c>
      <c r="F585" s="144">
        <v>0</v>
      </c>
      <c r="G585" s="291">
        <v>0</v>
      </c>
      <c r="H585" s="150">
        <v>0</v>
      </c>
      <c r="I585" s="567">
        <f t="shared" si="15"/>
        <v>0</v>
      </c>
    </row>
    <row r="586" spans="1:9" x14ac:dyDescent="0.15">
      <c r="A586" s="138"/>
      <c r="B586" s="521" t="s">
        <v>1584</v>
      </c>
      <c r="C586" s="138" t="s">
        <v>178</v>
      </c>
      <c r="D586" s="144">
        <v>0</v>
      </c>
      <c r="E586" s="144">
        <v>0</v>
      </c>
      <c r="F586" s="144">
        <v>0</v>
      </c>
      <c r="G586" s="291">
        <v>0</v>
      </c>
      <c r="H586" s="150">
        <v>0</v>
      </c>
      <c r="I586" s="567">
        <f t="shared" si="15"/>
        <v>0</v>
      </c>
    </row>
    <row r="587" spans="1:9" x14ac:dyDescent="0.15">
      <c r="A587" s="138"/>
      <c r="B587" s="521" t="s">
        <v>174</v>
      </c>
      <c r="C587" s="138" t="s">
        <v>179</v>
      </c>
      <c r="D587" s="144">
        <v>0</v>
      </c>
      <c r="E587" s="144">
        <v>0</v>
      </c>
      <c r="F587" s="144">
        <v>0</v>
      </c>
      <c r="G587" s="291">
        <v>0</v>
      </c>
      <c r="H587" s="150">
        <v>0</v>
      </c>
      <c r="I587" s="567">
        <f t="shared" si="15"/>
        <v>0</v>
      </c>
    </row>
    <row r="588" spans="1:9" x14ac:dyDescent="0.15">
      <c r="A588" s="138"/>
      <c r="B588" s="521" t="s">
        <v>175</v>
      </c>
      <c r="C588" s="138" t="s">
        <v>180</v>
      </c>
      <c r="D588" s="144">
        <v>0</v>
      </c>
      <c r="E588" s="144">
        <v>0</v>
      </c>
      <c r="F588" s="144">
        <v>0</v>
      </c>
      <c r="G588" s="291">
        <v>0</v>
      </c>
      <c r="H588" s="150">
        <v>0</v>
      </c>
      <c r="I588" s="567">
        <f t="shared" si="15"/>
        <v>0</v>
      </c>
    </row>
    <row r="589" spans="1:9" ht="11.25" thickBot="1" x14ac:dyDescent="0.2">
      <c r="A589" s="138"/>
      <c r="B589" s="521" t="s">
        <v>176</v>
      </c>
      <c r="C589" s="138" t="s">
        <v>181</v>
      </c>
      <c r="D589" s="144">
        <v>0</v>
      </c>
      <c r="E589" s="144">
        <v>0</v>
      </c>
      <c r="F589" s="144">
        <v>0</v>
      </c>
      <c r="G589" s="291">
        <v>0</v>
      </c>
      <c r="H589" s="150">
        <v>0</v>
      </c>
      <c r="I589" s="567">
        <f t="shared" si="15"/>
        <v>0</v>
      </c>
    </row>
    <row r="590" spans="1:9" ht="12" thickTop="1" thickBot="1" x14ac:dyDescent="0.2">
      <c r="A590" s="138"/>
      <c r="B590" s="521"/>
      <c r="C590" s="138" t="s">
        <v>140</v>
      </c>
      <c r="D590" s="169">
        <f>SUM(D556:D589)</f>
        <v>0</v>
      </c>
      <c r="E590" s="169">
        <f>SUM(E556:E589)</f>
        <v>0</v>
      </c>
      <c r="F590" s="169">
        <f>SUM(F556:F589)</f>
        <v>0</v>
      </c>
      <c r="G590" s="169">
        <f>SUM(G556:G589)</f>
        <v>0</v>
      </c>
      <c r="H590" s="169">
        <f>SUM(H556:H589)</f>
        <v>0</v>
      </c>
      <c r="I590" s="169">
        <f>SUM(G590+H590)</f>
        <v>0</v>
      </c>
    </row>
    <row r="591" spans="1:9" ht="11.25" thickTop="1" x14ac:dyDescent="0.15">
      <c r="A591" s="138"/>
      <c r="B591" s="138"/>
      <c r="C591" s="138"/>
      <c r="D591" s="14"/>
      <c r="E591" s="14"/>
      <c r="F591" s="14"/>
      <c r="G591" s="14"/>
      <c r="H591" s="14"/>
      <c r="I591" s="563"/>
    </row>
    <row r="592" spans="1:9" x14ac:dyDescent="0.15">
      <c r="A592" s="522" t="s">
        <v>141</v>
      </c>
      <c r="B592" s="138"/>
      <c r="C592" s="138"/>
      <c r="D592" s="14"/>
      <c r="E592" s="14"/>
      <c r="F592" s="14"/>
      <c r="G592" s="14"/>
      <c r="H592" s="14"/>
      <c r="I592" s="563"/>
    </row>
    <row r="593" spans="1:9" s="434" customFormat="1" x14ac:dyDescent="0.15">
      <c r="B593" s="523" t="s">
        <v>1577</v>
      </c>
      <c r="C593" s="524" t="s">
        <v>228</v>
      </c>
      <c r="D593" s="316">
        <v>0</v>
      </c>
      <c r="E593" s="316">
        <v>0</v>
      </c>
      <c r="F593" s="316">
        <v>0</v>
      </c>
      <c r="G593" s="528">
        <f t="array" ref="G593">SUM(IF(CertFund&amp;CertProg&amp;CertObj=RIGHT(LEFT($A$2,7),2)&amp;LEFT(A592,4)&amp;B593,CertSalary))</f>
        <v>0</v>
      </c>
      <c r="H593" s="527">
        <v>0</v>
      </c>
      <c r="I593" s="566">
        <f t="shared" ref="I593:I627" si="16">SUM(G593+H593)</f>
        <v>0</v>
      </c>
    </row>
    <row r="594" spans="1:9" s="434" customFormat="1" x14ac:dyDescent="0.15">
      <c r="B594" s="523" t="s">
        <v>1577</v>
      </c>
      <c r="C594" s="524" t="s">
        <v>510</v>
      </c>
      <c r="D594" s="316">
        <v>0</v>
      </c>
      <c r="E594" s="316">
        <v>0</v>
      </c>
      <c r="F594" s="316">
        <v>0</v>
      </c>
      <c r="G594" s="316">
        <v>0</v>
      </c>
      <c r="H594" s="527">
        <v>0</v>
      </c>
      <c r="I594" s="566">
        <f t="shared" si="16"/>
        <v>0</v>
      </c>
    </row>
    <row r="595" spans="1:9" s="434" customFormat="1" x14ac:dyDescent="0.15">
      <c r="A595" s="524"/>
      <c r="B595" s="523" t="s">
        <v>1578</v>
      </c>
      <c r="C595" s="524" t="s">
        <v>936</v>
      </c>
      <c r="D595" s="316">
        <v>0</v>
      </c>
      <c r="E595" s="316">
        <v>0</v>
      </c>
      <c r="F595" s="316">
        <v>0</v>
      </c>
      <c r="G595" s="529">
        <f t="array" ref="G595">SUM(IF(CertFund&amp;CertProg&amp;CertObj=RIGHT(LEFT($A$2,7),2)&amp;LEFT(A592,4)&amp;B593,CertBen))</f>
        <v>0</v>
      </c>
      <c r="H595" s="527">
        <v>0</v>
      </c>
      <c r="I595" s="566">
        <f t="shared" si="16"/>
        <v>0</v>
      </c>
    </row>
    <row r="596" spans="1:9" s="434" customFormat="1" x14ac:dyDescent="0.15">
      <c r="A596" s="524"/>
      <c r="B596" s="523" t="s">
        <v>1578</v>
      </c>
      <c r="C596" s="524" t="s">
        <v>511</v>
      </c>
      <c r="D596" s="316">
        <v>0</v>
      </c>
      <c r="E596" s="316">
        <v>0</v>
      </c>
      <c r="F596" s="316">
        <v>0</v>
      </c>
      <c r="G596" s="316">
        <v>0</v>
      </c>
      <c r="H596" s="527">
        <v>0</v>
      </c>
      <c r="I596" s="566">
        <f t="shared" si="16"/>
        <v>0</v>
      </c>
    </row>
    <row r="597" spans="1:9" x14ac:dyDescent="0.15">
      <c r="A597" s="138"/>
      <c r="B597" s="521" t="s">
        <v>1579</v>
      </c>
      <c r="C597" s="138" t="s">
        <v>118</v>
      </c>
      <c r="D597" s="144">
        <v>0</v>
      </c>
      <c r="E597" s="144">
        <v>0</v>
      </c>
      <c r="F597" s="144">
        <v>0</v>
      </c>
      <c r="G597" s="291">
        <v>0</v>
      </c>
      <c r="H597" s="150">
        <v>0</v>
      </c>
      <c r="I597" s="567">
        <f t="shared" si="16"/>
        <v>0</v>
      </c>
    </row>
    <row r="598" spans="1:9" x14ac:dyDescent="0.15">
      <c r="A598" s="138"/>
      <c r="B598" s="521" t="s">
        <v>1580</v>
      </c>
      <c r="C598" s="138" t="s">
        <v>119</v>
      </c>
      <c r="D598" s="144">
        <v>0</v>
      </c>
      <c r="E598" s="144">
        <v>0</v>
      </c>
      <c r="F598" s="144">
        <v>0</v>
      </c>
      <c r="G598" s="291">
        <v>0</v>
      </c>
      <c r="H598" s="150">
        <v>0</v>
      </c>
      <c r="I598" s="567">
        <f t="shared" si="16"/>
        <v>0</v>
      </c>
    </row>
    <row r="599" spans="1:9" x14ac:dyDescent="0.15">
      <c r="A599" s="138"/>
      <c r="B599" s="521" t="s">
        <v>120</v>
      </c>
      <c r="C599" s="138" t="s">
        <v>121</v>
      </c>
      <c r="D599" s="144">
        <v>0</v>
      </c>
      <c r="E599" s="144">
        <v>0</v>
      </c>
      <c r="F599" s="144">
        <v>0</v>
      </c>
      <c r="G599" s="291">
        <v>0</v>
      </c>
      <c r="H599" s="150">
        <v>0</v>
      </c>
      <c r="I599" s="567">
        <f t="shared" si="16"/>
        <v>0</v>
      </c>
    </row>
    <row r="600" spans="1:9" x14ac:dyDescent="0.15">
      <c r="A600" s="138"/>
      <c r="B600" s="521" t="s">
        <v>122</v>
      </c>
      <c r="C600" s="138" t="s">
        <v>123</v>
      </c>
      <c r="D600" s="144">
        <v>0</v>
      </c>
      <c r="E600" s="144">
        <v>0</v>
      </c>
      <c r="F600" s="144">
        <v>0</v>
      </c>
      <c r="G600" s="291">
        <v>0</v>
      </c>
      <c r="H600" s="150">
        <v>0</v>
      </c>
      <c r="I600" s="567">
        <f t="shared" si="16"/>
        <v>0</v>
      </c>
    </row>
    <row r="601" spans="1:9" x14ac:dyDescent="0.15">
      <c r="A601" s="138"/>
      <c r="B601" s="521" t="s">
        <v>1581</v>
      </c>
      <c r="C601" s="138" t="s">
        <v>124</v>
      </c>
      <c r="D601" s="144">
        <v>0</v>
      </c>
      <c r="E601" s="144">
        <v>0</v>
      </c>
      <c r="F601" s="144">
        <v>0</v>
      </c>
      <c r="G601" s="291">
        <v>0</v>
      </c>
      <c r="H601" s="150">
        <v>0</v>
      </c>
      <c r="I601" s="567">
        <f t="shared" si="16"/>
        <v>0</v>
      </c>
    </row>
    <row r="602" spans="1:9" x14ac:dyDescent="0.15">
      <c r="A602" s="138"/>
      <c r="B602" s="521" t="s">
        <v>127</v>
      </c>
      <c r="C602" s="138" t="s">
        <v>134</v>
      </c>
      <c r="D602" s="144">
        <v>0</v>
      </c>
      <c r="E602" s="144">
        <v>0</v>
      </c>
      <c r="F602" s="144">
        <v>0</v>
      </c>
      <c r="G602" s="291">
        <v>0</v>
      </c>
      <c r="H602" s="150">
        <v>0</v>
      </c>
      <c r="I602" s="567">
        <f t="shared" si="16"/>
        <v>0</v>
      </c>
    </row>
    <row r="603" spans="1:9" x14ac:dyDescent="0.15">
      <c r="A603" s="138"/>
      <c r="B603" s="521" t="s">
        <v>128</v>
      </c>
      <c r="C603" s="138" t="s">
        <v>135</v>
      </c>
      <c r="D603" s="144">
        <v>0</v>
      </c>
      <c r="E603" s="144">
        <v>0</v>
      </c>
      <c r="F603" s="144">
        <v>0</v>
      </c>
      <c r="G603" s="291">
        <v>0</v>
      </c>
      <c r="H603" s="150">
        <v>0</v>
      </c>
      <c r="I603" s="567">
        <f t="shared" si="16"/>
        <v>0</v>
      </c>
    </row>
    <row r="604" spans="1:9" x14ac:dyDescent="0.15">
      <c r="A604" s="138"/>
      <c r="B604" s="521" t="s">
        <v>132</v>
      </c>
      <c r="C604" s="138" t="s">
        <v>1617</v>
      </c>
      <c r="D604" s="144">
        <v>0</v>
      </c>
      <c r="E604" s="144">
        <v>0</v>
      </c>
      <c r="F604" s="144">
        <v>0</v>
      </c>
      <c r="G604" s="291">
        <v>0</v>
      </c>
      <c r="H604" s="150">
        <v>0</v>
      </c>
      <c r="I604" s="567">
        <f t="shared" si="16"/>
        <v>0</v>
      </c>
    </row>
    <row r="605" spans="1:9" x14ac:dyDescent="0.15">
      <c r="A605" s="138"/>
      <c r="B605" s="521" t="s">
        <v>1618</v>
      </c>
      <c r="C605" s="138" t="s">
        <v>836</v>
      </c>
      <c r="D605" s="144">
        <v>0</v>
      </c>
      <c r="E605" s="144">
        <v>0</v>
      </c>
      <c r="F605" s="144">
        <v>0</v>
      </c>
      <c r="G605" s="291">
        <v>0</v>
      </c>
      <c r="H605" s="150">
        <v>0</v>
      </c>
      <c r="I605" s="567">
        <f t="shared" si="16"/>
        <v>0</v>
      </c>
    </row>
    <row r="606" spans="1:9" x14ac:dyDescent="0.15">
      <c r="A606" s="138"/>
      <c r="B606" s="521" t="s">
        <v>1619</v>
      </c>
      <c r="C606" s="138" t="s">
        <v>837</v>
      </c>
      <c r="D606" s="144">
        <v>0</v>
      </c>
      <c r="E606" s="144">
        <v>0</v>
      </c>
      <c r="F606" s="144">
        <v>0</v>
      </c>
      <c r="G606" s="291">
        <v>0</v>
      </c>
      <c r="H606" s="150">
        <v>0</v>
      </c>
      <c r="I606" s="567">
        <f t="shared" si="16"/>
        <v>0</v>
      </c>
    </row>
    <row r="607" spans="1:9" x14ac:dyDescent="0.15">
      <c r="A607" s="138"/>
      <c r="B607" s="521" t="s">
        <v>1620</v>
      </c>
      <c r="C607" s="138" t="s">
        <v>838</v>
      </c>
      <c r="D607" s="144">
        <v>0</v>
      </c>
      <c r="E607" s="144">
        <v>0</v>
      </c>
      <c r="F607" s="144">
        <v>0</v>
      </c>
      <c r="G607" s="291">
        <v>0</v>
      </c>
      <c r="H607" s="150">
        <v>0</v>
      </c>
      <c r="I607" s="567">
        <f t="shared" si="16"/>
        <v>0</v>
      </c>
    </row>
    <row r="608" spans="1:9" x14ac:dyDescent="0.15">
      <c r="A608" s="138"/>
      <c r="B608" s="521" t="s">
        <v>1621</v>
      </c>
      <c r="C608" s="138" t="s">
        <v>839</v>
      </c>
      <c r="D608" s="144">
        <v>0</v>
      </c>
      <c r="E608" s="144">
        <v>0</v>
      </c>
      <c r="F608" s="144">
        <v>0</v>
      </c>
      <c r="G608" s="291">
        <v>0</v>
      </c>
      <c r="H608" s="150">
        <v>0</v>
      </c>
      <c r="I608" s="567">
        <f t="shared" si="16"/>
        <v>0</v>
      </c>
    </row>
    <row r="609" spans="1:9" x14ac:dyDescent="0.15">
      <c r="A609" s="138"/>
      <c r="B609" s="521" t="s">
        <v>1622</v>
      </c>
      <c r="C609" s="138" t="s">
        <v>190</v>
      </c>
      <c r="D609" s="144">
        <v>0</v>
      </c>
      <c r="E609" s="144">
        <v>0</v>
      </c>
      <c r="F609" s="144">
        <v>0</v>
      </c>
      <c r="G609" s="291">
        <v>0</v>
      </c>
      <c r="H609" s="150">
        <v>0</v>
      </c>
      <c r="I609" s="567">
        <f t="shared" si="16"/>
        <v>0</v>
      </c>
    </row>
    <row r="610" spans="1:9" x14ac:dyDescent="0.15">
      <c r="A610" s="138"/>
      <c r="B610" s="521" t="s">
        <v>1623</v>
      </c>
      <c r="C610" s="138" t="s">
        <v>191</v>
      </c>
      <c r="D610" s="144">
        <v>0</v>
      </c>
      <c r="E610" s="144">
        <v>0</v>
      </c>
      <c r="F610" s="144">
        <v>0</v>
      </c>
      <c r="G610" s="291">
        <v>0</v>
      </c>
      <c r="H610" s="150">
        <v>0</v>
      </c>
      <c r="I610" s="567">
        <f t="shared" si="16"/>
        <v>0</v>
      </c>
    </row>
    <row r="611" spans="1:9" x14ac:dyDescent="0.15">
      <c r="A611" s="138"/>
      <c r="B611" s="521" t="s">
        <v>1624</v>
      </c>
      <c r="C611" s="138" t="s">
        <v>840</v>
      </c>
      <c r="D611" s="144">
        <v>0</v>
      </c>
      <c r="E611" s="144">
        <v>0</v>
      </c>
      <c r="F611" s="144">
        <v>0</v>
      </c>
      <c r="G611" s="291">
        <v>0</v>
      </c>
      <c r="H611" s="150">
        <v>0</v>
      </c>
      <c r="I611" s="567">
        <f t="shared" si="16"/>
        <v>0</v>
      </c>
    </row>
    <row r="612" spans="1:9" x14ac:dyDescent="0.15">
      <c r="A612" s="138"/>
      <c r="B612" s="521" t="s">
        <v>1625</v>
      </c>
      <c r="C612" s="138" t="s">
        <v>842</v>
      </c>
      <c r="D612" s="144">
        <v>0</v>
      </c>
      <c r="E612" s="144">
        <v>0</v>
      </c>
      <c r="F612" s="144">
        <v>0</v>
      </c>
      <c r="G612" s="291">
        <v>0</v>
      </c>
      <c r="H612" s="150">
        <v>0</v>
      </c>
      <c r="I612" s="567">
        <f t="shared" si="16"/>
        <v>0</v>
      </c>
    </row>
    <row r="613" spans="1:9" x14ac:dyDescent="0.15">
      <c r="A613" s="138"/>
      <c r="B613" s="521" t="s">
        <v>843</v>
      </c>
      <c r="C613" s="138" t="s">
        <v>848</v>
      </c>
      <c r="D613" s="144">
        <v>0</v>
      </c>
      <c r="E613" s="144">
        <v>0</v>
      </c>
      <c r="F613" s="144">
        <v>0</v>
      </c>
      <c r="G613" s="291">
        <v>0</v>
      </c>
      <c r="H613" s="150">
        <v>0</v>
      </c>
      <c r="I613" s="567">
        <f t="shared" si="16"/>
        <v>0</v>
      </c>
    </row>
    <row r="614" spans="1:9" x14ac:dyDescent="0.15">
      <c r="A614" s="138"/>
      <c r="B614" s="521" t="s">
        <v>844</v>
      </c>
      <c r="C614" s="138" t="s">
        <v>153</v>
      </c>
      <c r="D614" s="144">
        <v>0</v>
      </c>
      <c r="E614" s="144">
        <v>0</v>
      </c>
      <c r="F614" s="144">
        <v>0</v>
      </c>
      <c r="G614" s="291">
        <v>0</v>
      </c>
      <c r="H614" s="150">
        <v>0</v>
      </c>
      <c r="I614" s="567">
        <f t="shared" si="16"/>
        <v>0</v>
      </c>
    </row>
    <row r="615" spans="1:9" x14ac:dyDescent="0.15">
      <c r="A615" s="138"/>
      <c r="B615" s="521" t="s">
        <v>845</v>
      </c>
      <c r="C615" s="138" t="s">
        <v>154</v>
      </c>
      <c r="D615" s="144">
        <v>0</v>
      </c>
      <c r="E615" s="144">
        <v>0</v>
      </c>
      <c r="F615" s="144">
        <v>0</v>
      </c>
      <c r="G615" s="291">
        <v>0</v>
      </c>
      <c r="H615" s="150">
        <v>0</v>
      </c>
      <c r="I615" s="567">
        <f t="shared" si="16"/>
        <v>0</v>
      </c>
    </row>
    <row r="616" spans="1:9" x14ac:dyDescent="0.15">
      <c r="A616" s="138"/>
      <c r="B616" s="521" t="s">
        <v>846</v>
      </c>
      <c r="C616" s="138" t="s">
        <v>155</v>
      </c>
      <c r="D616" s="144">
        <v>0</v>
      </c>
      <c r="E616" s="144">
        <v>0</v>
      </c>
      <c r="F616" s="144">
        <v>0</v>
      </c>
      <c r="G616" s="291">
        <v>0</v>
      </c>
      <c r="H616" s="150">
        <v>0</v>
      </c>
      <c r="I616" s="567">
        <f t="shared" si="16"/>
        <v>0</v>
      </c>
    </row>
    <row r="617" spans="1:9" x14ac:dyDescent="0.15">
      <c r="A617" s="138"/>
      <c r="B617" s="521" t="s">
        <v>1582</v>
      </c>
      <c r="C617" s="138" t="s">
        <v>156</v>
      </c>
      <c r="D617" s="144">
        <v>0</v>
      </c>
      <c r="E617" s="144">
        <v>0</v>
      </c>
      <c r="F617" s="144">
        <v>0</v>
      </c>
      <c r="G617" s="291">
        <v>0</v>
      </c>
      <c r="H617" s="150">
        <v>0</v>
      </c>
      <c r="I617" s="567">
        <f t="shared" si="16"/>
        <v>0</v>
      </c>
    </row>
    <row r="618" spans="1:9" x14ac:dyDescent="0.15">
      <c r="A618" s="138"/>
      <c r="B618" s="521" t="s">
        <v>847</v>
      </c>
      <c r="C618" s="138" t="s">
        <v>157</v>
      </c>
      <c r="D618" s="144">
        <v>0</v>
      </c>
      <c r="E618" s="144">
        <v>0</v>
      </c>
      <c r="F618" s="144">
        <v>0</v>
      </c>
      <c r="G618" s="291">
        <v>0</v>
      </c>
      <c r="H618" s="150">
        <v>0</v>
      </c>
      <c r="I618" s="567">
        <f t="shared" si="16"/>
        <v>0</v>
      </c>
    </row>
    <row r="619" spans="1:9" x14ac:dyDescent="0.15">
      <c r="A619" s="138"/>
      <c r="B619" s="521" t="s">
        <v>1583</v>
      </c>
      <c r="C619" s="138" t="s">
        <v>160</v>
      </c>
      <c r="D619" s="144">
        <v>0</v>
      </c>
      <c r="E619" s="144">
        <v>0</v>
      </c>
      <c r="F619" s="144">
        <v>0</v>
      </c>
      <c r="G619" s="291">
        <v>0</v>
      </c>
      <c r="H619" s="150">
        <v>0</v>
      </c>
      <c r="I619" s="567">
        <f t="shared" si="16"/>
        <v>0</v>
      </c>
    </row>
    <row r="620" spans="1:9" x14ac:dyDescent="0.15">
      <c r="A620" s="138"/>
      <c r="B620" s="521" t="s">
        <v>634</v>
      </c>
      <c r="C620" s="138" t="s">
        <v>165</v>
      </c>
      <c r="D620" s="144">
        <v>0</v>
      </c>
      <c r="E620" s="144">
        <v>0</v>
      </c>
      <c r="F620" s="144">
        <v>0</v>
      </c>
      <c r="G620" s="291">
        <v>0</v>
      </c>
      <c r="H620" s="150">
        <v>0</v>
      </c>
      <c r="I620" s="567">
        <f t="shared" si="16"/>
        <v>0</v>
      </c>
    </row>
    <row r="621" spans="1:9" x14ac:dyDescent="0.15">
      <c r="A621" s="138"/>
      <c r="B621" s="521" t="s">
        <v>630</v>
      </c>
      <c r="C621" s="138" t="s">
        <v>172</v>
      </c>
      <c r="D621" s="144">
        <v>0</v>
      </c>
      <c r="E621" s="144">
        <v>0</v>
      </c>
      <c r="F621" s="144">
        <v>0</v>
      </c>
      <c r="G621" s="291">
        <v>0</v>
      </c>
      <c r="H621" s="150">
        <v>0</v>
      </c>
      <c r="I621" s="567">
        <f t="shared" si="16"/>
        <v>0</v>
      </c>
    </row>
    <row r="622" spans="1:9" x14ac:dyDescent="0.15">
      <c r="A622" s="138"/>
      <c r="B622" s="650" t="s">
        <v>631</v>
      </c>
      <c r="C622" s="651" t="s">
        <v>173</v>
      </c>
      <c r="D622" s="144">
        <v>0</v>
      </c>
      <c r="E622" s="144">
        <v>0</v>
      </c>
      <c r="F622" s="144">
        <v>0</v>
      </c>
      <c r="G622" s="291">
        <v>0</v>
      </c>
      <c r="H622" s="150">
        <v>0</v>
      </c>
      <c r="I622" s="567">
        <f t="shared" si="16"/>
        <v>0</v>
      </c>
    </row>
    <row r="623" spans="1:9" x14ac:dyDescent="0.15">
      <c r="A623" s="138"/>
      <c r="B623" s="521" t="s">
        <v>1584</v>
      </c>
      <c r="C623" s="138" t="s">
        <v>178</v>
      </c>
      <c r="D623" s="144">
        <v>0</v>
      </c>
      <c r="E623" s="144">
        <v>0</v>
      </c>
      <c r="F623" s="144">
        <v>0</v>
      </c>
      <c r="G623" s="291">
        <v>0</v>
      </c>
      <c r="H623" s="150">
        <v>0</v>
      </c>
      <c r="I623" s="567">
        <f t="shared" si="16"/>
        <v>0</v>
      </c>
    </row>
    <row r="624" spans="1:9" x14ac:dyDescent="0.15">
      <c r="A624" s="138"/>
      <c r="B624" s="521" t="s">
        <v>174</v>
      </c>
      <c r="C624" s="138" t="s">
        <v>179</v>
      </c>
      <c r="D624" s="144">
        <v>0</v>
      </c>
      <c r="E624" s="144">
        <v>0</v>
      </c>
      <c r="F624" s="144">
        <v>0</v>
      </c>
      <c r="G624" s="291">
        <v>0</v>
      </c>
      <c r="H624" s="150">
        <v>0</v>
      </c>
      <c r="I624" s="567">
        <f t="shared" si="16"/>
        <v>0</v>
      </c>
    </row>
    <row r="625" spans="1:10" x14ac:dyDescent="0.15">
      <c r="A625" s="138"/>
      <c r="B625" s="521" t="s">
        <v>175</v>
      </c>
      <c r="C625" s="138" t="s">
        <v>180</v>
      </c>
      <c r="D625" s="144">
        <v>0</v>
      </c>
      <c r="E625" s="144">
        <v>0</v>
      </c>
      <c r="F625" s="144">
        <v>0</v>
      </c>
      <c r="G625" s="291">
        <v>0</v>
      </c>
      <c r="H625" s="150">
        <v>0</v>
      </c>
      <c r="I625" s="567">
        <f t="shared" si="16"/>
        <v>0</v>
      </c>
    </row>
    <row r="626" spans="1:10" ht="11.25" thickBot="1" x14ac:dyDescent="0.2">
      <c r="A626" s="138"/>
      <c r="B626" s="521" t="s">
        <v>176</v>
      </c>
      <c r="C626" s="138" t="s">
        <v>181</v>
      </c>
      <c r="D626" s="144">
        <v>0</v>
      </c>
      <c r="E626" s="144">
        <v>0</v>
      </c>
      <c r="F626" s="144">
        <v>0</v>
      </c>
      <c r="G626" s="291">
        <v>0</v>
      </c>
      <c r="H626" s="150">
        <v>0</v>
      </c>
      <c r="I626" s="567">
        <f t="shared" si="16"/>
        <v>0</v>
      </c>
    </row>
    <row r="627" spans="1:10" ht="12" thickTop="1" thickBot="1" x14ac:dyDescent="0.2">
      <c r="A627" s="138"/>
      <c r="B627" s="521"/>
      <c r="C627" s="138" t="s">
        <v>142</v>
      </c>
      <c r="D627" s="169">
        <f>SUM(D593:D626)</f>
        <v>0</v>
      </c>
      <c r="E627" s="169">
        <f>SUM(E593:E626)</f>
        <v>0</v>
      </c>
      <c r="F627" s="169">
        <f>SUM(F593:F626)</f>
        <v>0</v>
      </c>
      <c r="G627" s="169">
        <f>SUM(G593:G626)</f>
        <v>0</v>
      </c>
      <c r="H627" s="169">
        <f>SUM(H593:H626)</f>
        <v>0</v>
      </c>
      <c r="I627" s="169">
        <f t="shared" si="16"/>
        <v>0</v>
      </c>
    </row>
    <row r="628" spans="1:10" ht="11.25" thickTop="1" x14ac:dyDescent="0.15">
      <c r="A628" s="138"/>
      <c r="B628" s="138"/>
      <c r="C628" s="138"/>
      <c r="D628" s="14"/>
      <c r="E628" s="14"/>
      <c r="F628" s="14"/>
      <c r="G628" s="14"/>
      <c r="H628" s="14"/>
      <c r="I628" s="563"/>
    </row>
    <row r="629" spans="1:10" x14ac:dyDescent="0.15">
      <c r="A629" s="522" t="s">
        <v>143</v>
      </c>
      <c r="B629" s="138"/>
      <c r="C629" s="138"/>
      <c r="D629" s="14"/>
      <c r="E629" s="14"/>
      <c r="F629" s="14"/>
      <c r="G629" s="14"/>
      <c r="H629" s="14"/>
      <c r="I629" s="563"/>
    </row>
    <row r="630" spans="1:10" s="434" customFormat="1" x14ac:dyDescent="0.15">
      <c r="B630" s="523" t="s">
        <v>1577</v>
      </c>
      <c r="C630" s="524" t="s">
        <v>228</v>
      </c>
      <c r="D630" s="316">
        <v>0</v>
      </c>
      <c r="E630" s="316">
        <v>0</v>
      </c>
      <c r="F630" s="316">
        <v>0</v>
      </c>
      <c r="G630" s="528">
        <f t="array" ref="G630">SUM(IF(CertFund&amp;CertProg&amp;CertObj=RIGHT(LEFT($A$2,7),2)&amp;LEFT(A629,4)&amp;B630,CertSalary))</f>
        <v>0</v>
      </c>
      <c r="H630" s="527">
        <v>0</v>
      </c>
      <c r="I630" s="566">
        <f t="shared" ref="I630:I665" si="17">SUM(G630+H630)</f>
        <v>0</v>
      </c>
    </row>
    <row r="631" spans="1:10" s="434" customFormat="1" x14ac:dyDescent="0.15">
      <c r="B631" s="523" t="s">
        <v>1577</v>
      </c>
      <c r="C631" s="524" t="s">
        <v>510</v>
      </c>
      <c r="D631" s="316">
        <v>0</v>
      </c>
      <c r="E631" s="316">
        <v>0</v>
      </c>
      <c r="F631" s="316">
        <v>0</v>
      </c>
      <c r="G631" s="316">
        <v>0</v>
      </c>
      <c r="H631" s="527">
        <v>0</v>
      </c>
      <c r="I631" s="566">
        <f t="shared" si="17"/>
        <v>0</v>
      </c>
    </row>
    <row r="632" spans="1:10" s="434" customFormat="1" x14ac:dyDescent="0.15">
      <c r="A632" s="524"/>
      <c r="B632" s="523" t="s">
        <v>1578</v>
      </c>
      <c r="C632" s="524" t="s">
        <v>936</v>
      </c>
      <c r="D632" s="316">
        <v>0</v>
      </c>
      <c r="E632" s="316">
        <v>0</v>
      </c>
      <c r="F632" s="316">
        <v>0</v>
      </c>
      <c r="G632" s="529">
        <f t="array" ref="G632">SUM(IF(CertFund&amp;CertProg&amp;CertObj=RIGHT(LEFT($A$2,7),2)&amp;LEFT(A629,4)&amp;B630,CertBen))</f>
        <v>0</v>
      </c>
      <c r="H632" s="527">
        <v>0</v>
      </c>
      <c r="I632" s="566">
        <f t="shared" si="17"/>
        <v>0</v>
      </c>
    </row>
    <row r="633" spans="1:10" x14ac:dyDescent="0.15">
      <c r="A633" s="138"/>
      <c r="B633" s="521" t="s">
        <v>1578</v>
      </c>
      <c r="C633" s="138" t="s">
        <v>511</v>
      </c>
      <c r="D633" s="147">
        <v>0</v>
      </c>
      <c r="E633" s="147">
        <v>0</v>
      </c>
      <c r="F633" s="147">
        <v>0</v>
      </c>
      <c r="G633" s="147">
        <v>0</v>
      </c>
      <c r="H633" s="150">
        <v>0</v>
      </c>
      <c r="I633" s="567">
        <f t="shared" si="17"/>
        <v>0</v>
      </c>
      <c r="J633" s="434"/>
    </row>
    <row r="634" spans="1:10" x14ac:dyDescent="0.15">
      <c r="A634" s="138"/>
      <c r="B634" s="521" t="s">
        <v>1579</v>
      </c>
      <c r="C634" s="138" t="s">
        <v>118</v>
      </c>
      <c r="D634" s="144">
        <v>0</v>
      </c>
      <c r="E634" s="144">
        <v>0</v>
      </c>
      <c r="F634" s="144">
        <v>0</v>
      </c>
      <c r="G634" s="291">
        <v>0</v>
      </c>
      <c r="H634" s="150">
        <v>0</v>
      </c>
      <c r="I634" s="567">
        <f t="shared" si="17"/>
        <v>0</v>
      </c>
    </row>
    <row r="635" spans="1:10" x14ac:dyDescent="0.15">
      <c r="A635" s="138"/>
      <c r="B635" s="521" t="s">
        <v>1580</v>
      </c>
      <c r="C635" s="138" t="s">
        <v>119</v>
      </c>
      <c r="D635" s="144">
        <v>0</v>
      </c>
      <c r="E635" s="144">
        <v>0</v>
      </c>
      <c r="F635" s="144">
        <v>0</v>
      </c>
      <c r="G635" s="291">
        <v>0</v>
      </c>
      <c r="H635" s="150">
        <v>0</v>
      </c>
      <c r="I635" s="567">
        <f t="shared" si="17"/>
        <v>0</v>
      </c>
    </row>
    <row r="636" spans="1:10" x14ac:dyDescent="0.15">
      <c r="A636" s="138"/>
      <c r="B636" s="521" t="s">
        <v>120</v>
      </c>
      <c r="C636" s="138" t="s">
        <v>121</v>
      </c>
      <c r="D636" s="144">
        <v>0</v>
      </c>
      <c r="E636" s="144">
        <v>0</v>
      </c>
      <c r="F636" s="144">
        <v>0</v>
      </c>
      <c r="G636" s="291">
        <v>0</v>
      </c>
      <c r="H636" s="150">
        <v>0</v>
      </c>
      <c r="I636" s="567">
        <f t="shared" si="17"/>
        <v>0</v>
      </c>
    </row>
    <row r="637" spans="1:10" x14ac:dyDescent="0.15">
      <c r="A637" s="138"/>
      <c r="B637" s="521" t="s">
        <v>122</v>
      </c>
      <c r="C637" s="138" t="s">
        <v>123</v>
      </c>
      <c r="D637" s="144">
        <v>0</v>
      </c>
      <c r="E637" s="144">
        <v>0</v>
      </c>
      <c r="F637" s="144">
        <v>0</v>
      </c>
      <c r="G637" s="291">
        <v>0</v>
      </c>
      <c r="H637" s="150">
        <v>0</v>
      </c>
      <c r="I637" s="567">
        <f t="shared" si="17"/>
        <v>0</v>
      </c>
    </row>
    <row r="638" spans="1:10" x14ac:dyDescent="0.15">
      <c r="A638" s="138"/>
      <c r="B638" s="521" t="s">
        <v>1581</v>
      </c>
      <c r="C638" s="138" t="s">
        <v>124</v>
      </c>
      <c r="D638" s="144">
        <v>0</v>
      </c>
      <c r="E638" s="144">
        <v>0</v>
      </c>
      <c r="F638" s="144">
        <v>0</v>
      </c>
      <c r="G638" s="291">
        <v>0</v>
      </c>
      <c r="H638" s="150">
        <v>0</v>
      </c>
      <c r="I638" s="567">
        <f t="shared" si="17"/>
        <v>0</v>
      </c>
    </row>
    <row r="639" spans="1:10" x14ac:dyDescent="0.15">
      <c r="A639" s="138"/>
      <c r="B639" s="521" t="s">
        <v>127</v>
      </c>
      <c r="C639" s="138" t="s">
        <v>134</v>
      </c>
      <c r="D639" s="144">
        <v>0</v>
      </c>
      <c r="E639" s="144">
        <v>0</v>
      </c>
      <c r="F639" s="144">
        <v>0</v>
      </c>
      <c r="G639" s="291">
        <v>0</v>
      </c>
      <c r="H639" s="150">
        <v>0</v>
      </c>
      <c r="I639" s="567">
        <f t="shared" si="17"/>
        <v>0</v>
      </c>
    </row>
    <row r="640" spans="1:10" x14ac:dyDescent="0.15">
      <c r="A640" s="138"/>
      <c r="B640" s="521" t="s">
        <v>128</v>
      </c>
      <c r="C640" s="138" t="s">
        <v>135</v>
      </c>
      <c r="D640" s="144">
        <v>0</v>
      </c>
      <c r="E640" s="144">
        <v>0</v>
      </c>
      <c r="F640" s="144">
        <v>0</v>
      </c>
      <c r="G640" s="291">
        <v>0</v>
      </c>
      <c r="H640" s="150">
        <v>0</v>
      </c>
      <c r="I640" s="567">
        <f t="shared" si="17"/>
        <v>0</v>
      </c>
    </row>
    <row r="641" spans="1:9" x14ac:dyDescent="0.15">
      <c r="A641" s="138"/>
      <c r="B641" s="521" t="s">
        <v>132</v>
      </c>
      <c r="C641" s="138" t="s">
        <v>1617</v>
      </c>
      <c r="D641" s="144">
        <v>0</v>
      </c>
      <c r="E641" s="144">
        <v>0</v>
      </c>
      <c r="F641" s="144">
        <v>0</v>
      </c>
      <c r="G641" s="291">
        <v>0</v>
      </c>
      <c r="H641" s="150">
        <v>0</v>
      </c>
      <c r="I641" s="567">
        <f t="shared" si="17"/>
        <v>0</v>
      </c>
    </row>
    <row r="642" spans="1:9" x14ac:dyDescent="0.15">
      <c r="A642" s="138"/>
      <c r="B642" s="521" t="s">
        <v>1618</v>
      </c>
      <c r="C642" s="138" t="s">
        <v>836</v>
      </c>
      <c r="D642" s="144">
        <v>0</v>
      </c>
      <c r="E642" s="144">
        <v>0</v>
      </c>
      <c r="F642" s="144">
        <v>0</v>
      </c>
      <c r="G642" s="291">
        <v>0</v>
      </c>
      <c r="H642" s="150">
        <v>0</v>
      </c>
      <c r="I642" s="567">
        <f t="shared" si="17"/>
        <v>0</v>
      </c>
    </row>
    <row r="643" spans="1:9" x14ac:dyDescent="0.15">
      <c r="A643" s="138"/>
      <c r="B643" s="521" t="s">
        <v>1619</v>
      </c>
      <c r="C643" s="138" t="s">
        <v>837</v>
      </c>
      <c r="D643" s="144">
        <v>0</v>
      </c>
      <c r="E643" s="144">
        <v>0</v>
      </c>
      <c r="F643" s="144">
        <v>0</v>
      </c>
      <c r="G643" s="291">
        <v>0</v>
      </c>
      <c r="H643" s="150">
        <v>0</v>
      </c>
      <c r="I643" s="567">
        <f t="shared" si="17"/>
        <v>0</v>
      </c>
    </row>
    <row r="644" spans="1:9" x14ac:dyDescent="0.15">
      <c r="A644" s="138"/>
      <c r="B644" s="521" t="s">
        <v>1620</v>
      </c>
      <c r="C644" s="138" t="s">
        <v>838</v>
      </c>
      <c r="D644" s="144">
        <v>0</v>
      </c>
      <c r="E644" s="144">
        <v>0</v>
      </c>
      <c r="F644" s="144">
        <v>0</v>
      </c>
      <c r="G644" s="291">
        <v>0</v>
      </c>
      <c r="H644" s="150">
        <v>0</v>
      </c>
      <c r="I644" s="567">
        <f t="shared" si="17"/>
        <v>0</v>
      </c>
    </row>
    <row r="645" spans="1:9" x14ac:dyDescent="0.15">
      <c r="A645" s="138"/>
      <c r="B645" s="521" t="s">
        <v>1621</v>
      </c>
      <c r="C645" s="138" t="s">
        <v>839</v>
      </c>
      <c r="D645" s="144">
        <v>0</v>
      </c>
      <c r="E645" s="144">
        <v>0</v>
      </c>
      <c r="F645" s="144">
        <v>0</v>
      </c>
      <c r="G645" s="291">
        <v>0</v>
      </c>
      <c r="H645" s="150">
        <v>0</v>
      </c>
      <c r="I645" s="567">
        <f t="shared" si="17"/>
        <v>0</v>
      </c>
    </row>
    <row r="646" spans="1:9" x14ac:dyDescent="0.15">
      <c r="A646" s="138"/>
      <c r="B646" s="521" t="s">
        <v>1622</v>
      </c>
      <c r="C646" s="138" t="s">
        <v>190</v>
      </c>
      <c r="D646" s="144">
        <v>0</v>
      </c>
      <c r="E646" s="144">
        <v>0</v>
      </c>
      <c r="F646" s="144">
        <v>0</v>
      </c>
      <c r="G646" s="291">
        <v>0</v>
      </c>
      <c r="H646" s="150">
        <v>0</v>
      </c>
      <c r="I646" s="567">
        <f t="shared" si="17"/>
        <v>0</v>
      </c>
    </row>
    <row r="647" spans="1:9" x14ac:dyDescent="0.15">
      <c r="A647" s="138"/>
      <c r="B647" s="521" t="s">
        <v>1623</v>
      </c>
      <c r="C647" s="138" t="s">
        <v>191</v>
      </c>
      <c r="D647" s="144">
        <v>0</v>
      </c>
      <c r="E647" s="144">
        <v>0</v>
      </c>
      <c r="F647" s="144">
        <v>0</v>
      </c>
      <c r="G647" s="291">
        <v>0</v>
      </c>
      <c r="H647" s="150">
        <v>0</v>
      </c>
      <c r="I647" s="567">
        <f t="shared" si="17"/>
        <v>0</v>
      </c>
    </row>
    <row r="648" spans="1:9" x14ac:dyDescent="0.15">
      <c r="A648" s="138"/>
      <c r="B648" s="521" t="s">
        <v>1624</v>
      </c>
      <c r="C648" s="138" t="s">
        <v>840</v>
      </c>
      <c r="D648" s="144">
        <v>0</v>
      </c>
      <c r="E648" s="144">
        <v>0</v>
      </c>
      <c r="F648" s="144">
        <v>0</v>
      </c>
      <c r="G648" s="291">
        <v>0</v>
      </c>
      <c r="H648" s="150">
        <v>0</v>
      </c>
      <c r="I648" s="567">
        <f t="shared" si="17"/>
        <v>0</v>
      </c>
    </row>
    <row r="649" spans="1:9" x14ac:dyDescent="0.15">
      <c r="A649" s="138"/>
      <c r="B649" s="521" t="s">
        <v>1625</v>
      </c>
      <c r="C649" s="138" t="s">
        <v>842</v>
      </c>
      <c r="D649" s="144">
        <v>0</v>
      </c>
      <c r="E649" s="144">
        <v>0</v>
      </c>
      <c r="F649" s="144">
        <v>0</v>
      </c>
      <c r="G649" s="291">
        <v>0</v>
      </c>
      <c r="H649" s="150">
        <v>0</v>
      </c>
      <c r="I649" s="567">
        <f t="shared" si="17"/>
        <v>0</v>
      </c>
    </row>
    <row r="650" spans="1:9" x14ac:dyDescent="0.15">
      <c r="A650" s="138"/>
      <c r="B650" s="521" t="s">
        <v>843</v>
      </c>
      <c r="C650" s="138" t="s">
        <v>848</v>
      </c>
      <c r="D650" s="144">
        <v>0</v>
      </c>
      <c r="E650" s="144">
        <v>0</v>
      </c>
      <c r="F650" s="144">
        <v>0</v>
      </c>
      <c r="G650" s="291">
        <v>0</v>
      </c>
      <c r="H650" s="150">
        <v>0</v>
      </c>
      <c r="I650" s="567">
        <f t="shared" si="17"/>
        <v>0</v>
      </c>
    </row>
    <row r="651" spans="1:9" x14ac:dyDescent="0.15">
      <c r="A651" s="138"/>
      <c r="B651" s="521" t="s">
        <v>844</v>
      </c>
      <c r="C651" s="138" t="s">
        <v>153</v>
      </c>
      <c r="D651" s="144">
        <v>0</v>
      </c>
      <c r="E651" s="144">
        <v>0</v>
      </c>
      <c r="F651" s="144">
        <v>0</v>
      </c>
      <c r="G651" s="291">
        <v>0</v>
      </c>
      <c r="H651" s="150">
        <v>0</v>
      </c>
      <c r="I651" s="567">
        <f t="shared" si="17"/>
        <v>0</v>
      </c>
    </row>
    <row r="652" spans="1:9" x14ac:dyDescent="0.15">
      <c r="A652" s="138"/>
      <c r="B652" s="521" t="s">
        <v>845</v>
      </c>
      <c r="C652" s="138" t="s">
        <v>154</v>
      </c>
      <c r="D652" s="144">
        <v>0</v>
      </c>
      <c r="E652" s="144">
        <v>0</v>
      </c>
      <c r="F652" s="144">
        <v>0</v>
      </c>
      <c r="G652" s="291">
        <v>0</v>
      </c>
      <c r="H652" s="150">
        <v>0</v>
      </c>
      <c r="I652" s="567">
        <f t="shared" si="17"/>
        <v>0</v>
      </c>
    </row>
    <row r="653" spans="1:9" x14ac:dyDescent="0.15">
      <c r="A653" s="138"/>
      <c r="B653" s="521" t="s">
        <v>846</v>
      </c>
      <c r="C653" s="138" t="s">
        <v>155</v>
      </c>
      <c r="D653" s="144">
        <v>0</v>
      </c>
      <c r="E653" s="144">
        <v>0</v>
      </c>
      <c r="F653" s="144">
        <v>0</v>
      </c>
      <c r="G653" s="291">
        <v>0</v>
      </c>
      <c r="H653" s="150">
        <v>0</v>
      </c>
      <c r="I653" s="567">
        <f t="shared" si="17"/>
        <v>0</v>
      </c>
    </row>
    <row r="654" spans="1:9" x14ac:dyDescent="0.15">
      <c r="A654" s="138"/>
      <c r="B654" s="521" t="s">
        <v>1582</v>
      </c>
      <c r="C654" s="138" t="s">
        <v>156</v>
      </c>
      <c r="D654" s="144">
        <v>0</v>
      </c>
      <c r="E654" s="144">
        <v>0</v>
      </c>
      <c r="F654" s="144">
        <v>0</v>
      </c>
      <c r="G654" s="291">
        <v>0</v>
      </c>
      <c r="H654" s="150">
        <v>0</v>
      </c>
      <c r="I654" s="567">
        <f t="shared" si="17"/>
        <v>0</v>
      </c>
    </row>
    <row r="655" spans="1:9" x14ac:dyDescent="0.15">
      <c r="A655" s="138"/>
      <c r="B655" s="521" t="s">
        <v>847</v>
      </c>
      <c r="C655" s="138" t="s">
        <v>157</v>
      </c>
      <c r="D655" s="144">
        <v>0</v>
      </c>
      <c r="E655" s="144">
        <v>0</v>
      </c>
      <c r="F655" s="144">
        <v>0</v>
      </c>
      <c r="G655" s="291">
        <v>0</v>
      </c>
      <c r="H655" s="150">
        <v>0</v>
      </c>
      <c r="I655" s="567">
        <f t="shared" si="17"/>
        <v>0</v>
      </c>
    </row>
    <row r="656" spans="1:9" x14ac:dyDescent="0.15">
      <c r="A656" s="138"/>
      <c r="B656" s="521" t="s">
        <v>1583</v>
      </c>
      <c r="C656" s="138" t="s">
        <v>160</v>
      </c>
      <c r="D656" s="144">
        <v>0</v>
      </c>
      <c r="E656" s="144">
        <v>0</v>
      </c>
      <c r="F656" s="144">
        <v>0</v>
      </c>
      <c r="G656" s="291">
        <v>0</v>
      </c>
      <c r="H656" s="150">
        <v>0</v>
      </c>
      <c r="I656" s="567">
        <f t="shared" si="17"/>
        <v>0</v>
      </c>
    </row>
    <row r="657" spans="1:10" x14ac:dyDescent="0.15">
      <c r="A657" s="138"/>
      <c r="B657" s="521" t="s">
        <v>634</v>
      </c>
      <c r="C657" s="138" t="s">
        <v>165</v>
      </c>
      <c r="D657" s="144">
        <v>0</v>
      </c>
      <c r="E657" s="144">
        <v>0</v>
      </c>
      <c r="F657" s="144">
        <v>0</v>
      </c>
      <c r="G657" s="291">
        <v>0</v>
      </c>
      <c r="H657" s="150">
        <v>0</v>
      </c>
      <c r="I657" s="567">
        <f t="shared" si="17"/>
        <v>0</v>
      </c>
    </row>
    <row r="658" spans="1:10" x14ac:dyDescent="0.15">
      <c r="A658" s="138"/>
      <c r="B658" s="521" t="s">
        <v>202</v>
      </c>
      <c r="C658" s="138" t="s">
        <v>731</v>
      </c>
      <c r="D658" s="144">
        <v>0</v>
      </c>
      <c r="E658" s="144">
        <v>0</v>
      </c>
      <c r="F658" s="144">
        <v>0</v>
      </c>
      <c r="G658" s="291">
        <v>0</v>
      </c>
      <c r="H658" s="150">
        <v>0</v>
      </c>
      <c r="I658" s="567">
        <f t="shared" si="17"/>
        <v>0</v>
      </c>
    </row>
    <row r="659" spans="1:10" x14ac:dyDescent="0.15">
      <c r="A659" s="138"/>
      <c r="B659" s="521" t="s">
        <v>630</v>
      </c>
      <c r="C659" s="138" t="s">
        <v>172</v>
      </c>
      <c r="D659" s="144">
        <v>0</v>
      </c>
      <c r="E659" s="144">
        <v>0</v>
      </c>
      <c r="F659" s="144">
        <v>0</v>
      </c>
      <c r="G659" s="291">
        <v>0</v>
      </c>
      <c r="H659" s="150">
        <v>0</v>
      </c>
      <c r="I659" s="567">
        <f t="shared" si="17"/>
        <v>0</v>
      </c>
    </row>
    <row r="660" spans="1:10" x14ac:dyDescent="0.15">
      <c r="A660" s="138"/>
      <c r="B660" s="650" t="s">
        <v>631</v>
      </c>
      <c r="C660" s="651" t="s">
        <v>173</v>
      </c>
      <c r="D660" s="144">
        <v>0</v>
      </c>
      <c r="E660" s="144">
        <v>0</v>
      </c>
      <c r="F660" s="144">
        <v>0</v>
      </c>
      <c r="G660" s="291">
        <v>0</v>
      </c>
      <c r="H660" s="150">
        <v>0</v>
      </c>
      <c r="I660" s="567">
        <f t="shared" si="17"/>
        <v>0</v>
      </c>
    </row>
    <row r="661" spans="1:10" x14ac:dyDescent="0.15">
      <c r="A661" s="138"/>
      <c r="B661" s="521" t="s">
        <v>1584</v>
      </c>
      <c r="C661" s="138" t="s">
        <v>178</v>
      </c>
      <c r="D661" s="144">
        <v>0</v>
      </c>
      <c r="E661" s="144">
        <v>0</v>
      </c>
      <c r="F661" s="144">
        <v>0</v>
      </c>
      <c r="G661" s="291">
        <v>0</v>
      </c>
      <c r="H661" s="150">
        <v>0</v>
      </c>
      <c r="I661" s="567">
        <f t="shared" si="17"/>
        <v>0</v>
      </c>
    </row>
    <row r="662" spans="1:10" x14ac:dyDescent="0.15">
      <c r="A662" s="138"/>
      <c r="B662" s="521" t="s">
        <v>174</v>
      </c>
      <c r="C662" s="138" t="s">
        <v>179</v>
      </c>
      <c r="D662" s="144">
        <v>0</v>
      </c>
      <c r="E662" s="144">
        <v>0</v>
      </c>
      <c r="F662" s="144">
        <v>0</v>
      </c>
      <c r="G662" s="291">
        <v>0</v>
      </c>
      <c r="H662" s="150">
        <v>0</v>
      </c>
      <c r="I662" s="567">
        <f t="shared" si="17"/>
        <v>0</v>
      </c>
    </row>
    <row r="663" spans="1:10" x14ac:dyDescent="0.15">
      <c r="A663" s="138"/>
      <c r="B663" s="521" t="s">
        <v>175</v>
      </c>
      <c r="C663" s="138" t="s">
        <v>180</v>
      </c>
      <c r="D663" s="144">
        <v>0</v>
      </c>
      <c r="E663" s="144">
        <v>0</v>
      </c>
      <c r="F663" s="144">
        <v>0</v>
      </c>
      <c r="G663" s="291">
        <v>0</v>
      </c>
      <c r="H663" s="150">
        <v>0</v>
      </c>
      <c r="I663" s="567">
        <f t="shared" si="17"/>
        <v>0</v>
      </c>
    </row>
    <row r="664" spans="1:10" ht="11.25" thickBot="1" x14ac:dyDescent="0.2">
      <c r="A664" s="138"/>
      <c r="B664" s="521" t="s">
        <v>176</v>
      </c>
      <c r="C664" s="138" t="s">
        <v>181</v>
      </c>
      <c r="D664" s="144">
        <v>0</v>
      </c>
      <c r="E664" s="144">
        <v>0</v>
      </c>
      <c r="F664" s="144">
        <v>0</v>
      </c>
      <c r="G664" s="291">
        <v>0</v>
      </c>
      <c r="H664" s="150">
        <v>0</v>
      </c>
      <c r="I664" s="567">
        <f t="shared" si="17"/>
        <v>0</v>
      </c>
    </row>
    <row r="665" spans="1:10" ht="12" thickTop="1" thickBot="1" x14ac:dyDescent="0.2">
      <c r="A665" s="138"/>
      <c r="B665" s="521"/>
      <c r="C665" s="138" t="s">
        <v>144</v>
      </c>
      <c r="D665" s="169">
        <f>SUM(D630:D664)</f>
        <v>0</v>
      </c>
      <c r="E665" s="169">
        <f>SUM(E630:E664)</f>
        <v>0</v>
      </c>
      <c r="F665" s="169">
        <f>SUM(F630:F664)</f>
        <v>0</v>
      </c>
      <c r="G665" s="169">
        <f>SUM(G630:G664)</f>
        <v>0</v>
      </c>
      <c r="H665" s="169">
        <f>SUM(H630:H664)</f>
        <v>0</v>
      </c>
      <c r="I665" s="169">
        <f t="shared" si="17"/>
        <v>0</v>
      </c>
    </row>
    <row r="666" spans="1:10" ht="11.25" thickTop="1" x14ac:dyDescent="0.15">
      <c r="A666" s="138"/>
      <c r="B666" s="138"/>
      <c r="C666" s="138"/>
      <c r="D666" s="14"/>
      <c r="E666" s="14"/>
      <c r="F666" s="14"/>
      <c r="G666" s="14"/>
      <c r="H666" s="14"/>
      <c r="I666" s="563"/>
    </row>
    <row r="667" spans="1:10" x14ac:dyDescent="0.15">
      <c r="A667" s="522" t="s">
        <v>145</v>
      </c>
      <c r="B667" s="138"/>
      <c r="C667" s="138"/>
      <c r="D667" s="14"/>
      <c r="E667" s="14"/>
      <c r="F667" s="14"/>
      <c r="G667" s="14"/>
      <c r="H667" s="14"/>
      <c r="I667" s="563"/>
    </row>
    <row r="668" spans="1:10" s="434" customFormat="1" x14ac:dyDescent="0.15">
      <c r="B668" s="523" t="s">
        <v>1577</v>
      </c>
      <c r="C668" s="524" t="s">
        <v>228</v>
      </c>
      <c r="D668" s="316">
        <v>0</v>
      </c>
      <c r="E668" s="316">
        <v>0</v>
      </c>
      <c r="F668" s="316">
        <v>0</v>
      </c>
      <c r="G668" s="528">
        <f t="array" ref="G668">SUM(IF(CertFund&amp;CertProg&amp;CertObj=RIGHT(LEFT($A$2,7),2)&amp;LEFT(A667,4)&amp;B668,CertSalary))</f>
        <v>0</v>
      </c>
      <c r="H668" s="527">
        <v>0</v>
      </c>
      <c r="I668" s="566">
        <f t="shared" ref="I668:I702" si="18">SUM(G668+H668)</f>
        <v>0</v>
      </c>
    </row>
    <row r="669" spans="1:10" s="434" customFormat="1" x14ac:dyDescent="0.15">
      <c r="B669" s="523" t="s">
        <v>1577</v>
      </c>
      <c r="C669" s="524" t="s">
        <v>510</v>
      </c>
      <c r="D669" s="316">
        <v>0</v>
      </c>
      <c r="E669" s="316">
        <v>0</v>
      </c>
      <c r="F669" s="316">
        <v>0</v>
      </c>
      <c r="G669" s="316">
        <v>0</v>
      </c>
      <c r="H669" s="527">
        <v>0</v>
      </c>
      <c r="I669" s="566">
        <f t="shared" si="18"/>
        <v>0</v>
      </c>
    </row>
    <row r="670" spans="1:10" s="434" customFormat="1" x14ac:dyDescent="0.15">
      <c r="A670" s="524"/>
      <c r="B670" s="523" t="s">
        <v>1578</v>
      </c>
      <c r="C670" s="524" t="s">
        <v>936</v>
      </c>
      <c r="D670" s="316">
        <v>0</v>
      </c>
      <c r="E670" s="316">
        <v>0</v>
      </c>
      <c r="F670" s="316">
        <v>0</v>
      </c>
      <c r="G670" s="529">
        <f t="array" ref="G670">SUM(IF(CertFund&amp;CertProg&amp;CertObj=RIGHT(LEFT($A$2,7),2)&amp;LEFT(A667,4)&amp;B668,CertBen))</f>
        <v>0</v>
      </c>
      <c r="H670" s="527">
        <v>0</v>
      </c>
      <c r="I670" s="566">
        <f t="shared" si="18"/>
        <v>0</v>
      </c>
    </row>
    <row r="671" spans="1:10" x14ac:dyDescent="0.15">
      <c r="A671" s="138"/>
      <c r="B671" s="521" t="s">
        <v>1578</v>
      </c>
      <c r="C671" s="138" t="s">
        <v>511</v>
      </c>
      <c r="D671" s="147">
        <v>0</v>
      </c>
      <c r="E671" s="147">
        <v>0</v>
      </c>
      <c r="F671" s="147">
        <v>0</v>
      </c>
      <c r="G671" s="147">
        <v>0</v>
      </c>
      <c r="H671" s="150">
        <v>0</v>
      </c>
      <c r="I671" s="567">
        <f t="shared" si="18"/>
        <v>0</v>
      </c>
      <c r="J671" s="434"/>
    </row>
    <row r="672" spans="1:10" x14ac:dyDescent="0.15">
      <c r="A672" s="138"/>
      <c r="B672" s="521" t="s">
        <v>1579</v>
      </c>
      <c r="C672" s="138" t="s">
        <v>118</v>
      </c>
      <c r="D672" s="144">
        <v>0</v>
      </c>
      <c r="E672" s="144">
        <v>0</v>
      </c>
      <c r="F672" s="144">
        <v>0</v>
      </c>
      <c r="G672" s="291">
        <v>0</v>
      </c>
      <c r="H672" s="150">
        <v>0</v>
      </c>
      <c r="I672" s="567">
        <f t="shared" si="18"/>
        <v>0</v>
      </c>
    </row>
    <row r="673" spans="1:9" x14ac:dyDescent="0.15">
      <c r="A673" s="138"/>
      <c r="B673" s="521" t="s">
        <v>1580</v>
      </c>
      <c r="C673" s="138" t="s">
        <v>119</v>
      </c>
      <c r="D673" s="144">
        <v>0</v>
      </c>
      <c r="E673" s="144">
        <v>0</v>
      </c>
      <c r="F673" s="144">
        <v>0</v>
      </c>
      <c r="G673" s="291">
        <v>0</v>
      </c>
      <c r="H673" s="150">
        <v>0</v>
      </c>
      <c r="I673" s="567">
        <f t="shared" si="18"/>
        <v>0</v>
      </c>
    </row>
    <row r="674" spans="1:9" x14ac:dyDescent="0.15">
      <c r="A674" s="138"/>
      <c r="B674" s="521" t="s">
        <v>120</v>
      </c>
      <c r="C674" s="138" t="s">
        <v>121</v>
      </c>
      <c r="D674" s="144">
        <v>0</v>
      </c>
      <c r="E674" s="144">
        <v>0</v>
      </c>
      <c r="F674" s="144">
        <v>0</v>
      </c>
      <c r="G674" s="291">
        <v>0</v>
      </c>
      <c r="H674" s="150">
        <v>0</v>
      </c>
      <c r="I674" s="567">
        <f t="shared" si="18"/>
        <v>0</v>
      </c>
    </row>
    <row r="675" spans="1:9" x14ac:dyDescent="0.15">
      <c r="A675" s="138"/>
      <c r="B675" s="521" t="s">
        <v>122</v>
      </c>
      <c r="C675" s="138" t="s">
        <v>123</v>
      </c>
      <c r="D675" s="144">
        <v>0</v>
      </c>
      <c r="E675" s="144">
        <v>0</v>
      </c>
      <c r="F675" s="144">
        <v>0</v>
      </c>
      <c r="G675" s="291">
        <v>0</v>
      </c>
      <c r="H675" s="150">
        <v>0</v>
      </c>
      <c r="I675" s="567">
        <f t="shared" si="18"/>
        <v>0</v>
      </c>
    </row>
    <row r="676" spans="1:9" x14ac:dyDescent="0.15">
      <c r="A676" s="138"/>
      <c r="B676" s="521" t="s">
        <v>1581</v>
      </c>
      <c r="C676" s="138" t="s">
        <v>124</v>
      </c>
      <c r="D676" s="144">
        <v>0</v>
      </c>
      <c r="E676" s="144">
        <v>0</v>
      </c>
      <c r="F676" s="144">
        <v>0</v>
      </c>
      <c r="G676" s="291">
        <v>0</v>
      </c>
      <c r="H676" s="150">
        <v>0</v>
      </c>
      <c r="I676" s="567">
        <f t="shared" si="18"/>
        <v>0</v>
      </c>
    </row>
    <row r="677" spans="1:9" x14ac:dyDescent="0.15">
      <c r="A677" s="138"/>
      <c r="B677" s="521" t="s">
        <v>127</v>
      </c>
      <c r="C677" s="138" t="s">
        <v>134</v>
      </c>
      <c r="D677" s="144">
        <v>0</v>
      </c>
      <c r="E677" s="144">
        <v>0</v>
      </c>
      <c r="F677" s="144">
        <v>0</v>
      </c>
      <c r="G677" s="291">
        <v>0</v>
      </c>
      <c r="H677" s="150">
        <v>0</v>
      </c>
      <c r="I677" s="567">
        <f t="shared" si="18"/>
        <v>0</v>
      </c>
    </row>
    <row r="678" spans="1:9" x14ac:dyDescent="0.15">
      <c r="A678" s="138"/>
      <c r="B678" s="521" t="s">
        <v>128</v>
      </c>
      <c r="C678" s="138" t="s">
        <v>135</v>
      </c>
      <c r="D678" s="144">
        <v>0</v>
      </c>
      <c r="E678" s="144">
        <v>0</v>
      </c>
      <c r="F678" s="144">
        <v>0</v>
      </c>
      <c r="G678" s="291">
        <v>0</v>
      </c>
      <c r="H678" s="150">
        <v>0</v>
      </c>
      <c r="I678" s="567">
        <f t="shared" si="18"/>
        <v>0</v>
      </c>
    </row>
    <row r="679" spans="1:9" x14ac:dyDescent="0.15">
      <c r="A679" s="138"/>
      <c r="B679" s="521" t="s">
        <v>132</v>
      </c>
      <c r="C679" s="138" t="s">
        <v>1617</v>
      </c>
      <c r="D679" s="144">
        <v>0</v>
      </c>
      <c r="E679" s="144">
        <v>0</v>
      </c>
      <c r="F679" s="144">
        <v>0</v>
      </c>
      <c r="G679" s="291">
        <v>0</v>
      </c>
      <c r="H679" s="150">
        <v>0</v>
      </c>
      <c r="I679" s="567">
        <f t="shared" si="18"/>
        <v>0</v>
      </c>
    </row>
    <row r="680" spans="1:9" x14ac:dyDescent="0.15">
      <c r="A680" s="138"/>
      <c r="B680" s="521" t="s">
        <v>1618</v>
      </c>
      <c r="C680" s="138" t="s">
        <v>836</v>
      </c>
      <c r="D680" s="144">
        <v>0</v>
      </c>
      <c r="E680" s="144">
        <v>0</v>
      </c>
      <c r="F680" s="144">
        <v>0</v>
      </c>
      <c r="G680" s="291">
        <v>0</v>
      </c>
      <c r="H680" s="150">
        <v>0</v>
      </c>
      <c r="I680" s="567">
        <f t="shared" si="18"/>
        <v>0</v>
      </c>
    </row>
    <row r="681" spans="1:9" x14ac:dyDescent="0.15">
      <c r="A681" s="138"/>
      <c r="B681" s="521" t="s">
        <v>1619</v>
      </c>
      <c r="C681" s="138" t="s">
        <v>837</v>
      </c>
      <c r="D681" s="144">
        <v>0</v>
      </c>
      <c r="E681" s="144">
        <v>0</v>
      </c>
      <c r="F681" s="144">
        <v>0</v>
      </c>
      <c r="G681" s="291">
        <v>0</v>
      </c>
      <c r="H681" s="150">
        <v>0</v>
      </c>
      <c r="I681" s="567">
        <f t="shared" si="18"/>
        <v>0</v>
      </c>
    </row>
    <row r="682" spans="1:9" x14ac:dyDescent="0.15">
      <c r="A682" s="138"/>
      <c r="B682" s="521" t="s">
        <v>1620</v>
      </c>
      <c r="C682" s="138" t="s">
        <v>838</v>
      </c>
      <c r="D682" s="144">
        <v>0</v>
      </c>
      <c r="E682" s="144">
        <v>0</v>
      </c>
      <c r="F682" s="144">
        <v>0</v>
      </c>
      <c r="G682" s="291">
        <v>0</v>
      </c>
      <c r="H682" s="150">
        <v>0</v>
      </c>
      <c r="I682" s="567">
        <f t="shared" si="18"/>
        <v>0</v>
      </c>
    </row>
    <row r="683" spans="1:9" x14ac:dyDescent="0.15">
      <c r="A683" s="138"/>
      <c r="B683" s="521" t="s">
        <v>1621</v>
      </c>
      <c r="C683" s="138" t="s">
        <v>839</v>
      </c>
      <c r="D683" s="144">
        <v>0</v>
      </c>
      <c r="E683" s="144">
        <v>0</v>
      </c>
      <c r="F683" s="144">
        <v>0</v>
      </c>
      <c r="G683" s="291">
        <v>0</v>
      </c>
      <c r="H683" s="150">
        <v>0</v>
      </c>
      <c r="I683" s="567">
        <f t="shared" si="18"/>
        <v>0</v>
      </c>
    </row>
    <row r="684" spans="1:9" x14ac:dyDescent="0.15">
      <c r="A684" s="138"/>
      <c r="B684" s="521" t="s">
        <v>1622</v>
      </c>
      <c r="C684" s="138" t="s">
        <v>190</v>
      </c>
      <c r="D684" s="144">
        <v>0</v>
      </c>
      <c r="E684" s="144">
        <v>0</v>
      </c>
      <c r="F684" s="144">
        <v>0</v>
      </c>
      <c r="G684" s="291">
        <v>0</v>
      </c>
      <c r="H684" s="150">
        <v>0</v>
      </c>
      <c r="I684" s="567">
        <f t="shared" si="18"/>
        <v>0</v>
      </c>
    </row>
    <row r="685" spans="1:9" x14ac:dyDescent="0.15">
      <c r="A685" s="138"/>
      <c r="B685" s="521" t="s">
        <v>1623</v>
      </c>
      <c r="C685" s="138" t="s">
        <v>191</v>
      </c>
      <c r="D685" s="144">
        <v>0</v>
      </c>
      <c r="E685" s="144">
        <v>0</v>
      </c>
      <c r="F685" s="144">
        <v>0</v>
      </c>
      <c r="G685" s="291">
        <v>0</v>
      </c>
      <c r="H685" s="150">
        <v>0</v>
      </c>
      <c r="I685" s="567">
        <f t="shared" si="18"/>
        <v>0</v>
      </c>
    </row>
    <row r="686" spans="1:9" x14ac:dyDescent="0.15">
      <c r="A686" s="138"/>
      <c r="B686" s="521" t="s">
        <v>1624</v>
      </c>
      <c r="C686" s="138" t="s">
        <v>840</v>
      </c>
      <c r="D686" s="144">
        <v>0</v>
      </c>
      <c r="E686" s="144">
        <v>0</v>
      </c>
      <c r="F686" s="144">
        <v>0</v>
      </c>
      <c r="G686" s="291">
        <v>0</v>
      </c>
      <c r="H686" s="150">
        <v>0</v>
      </c>
      <c r="I686" s="567">
        <f t="shared" si="18"/>
        <v>0</v>
      </c>
    </row>
    <row r="687" spans="1:9" x14ac:dyDescent="0.15">
      <c r="A687" s="138"/>
      <c r="B687" s="521" t="s">
        <v>1625</v>
      </c>
      <c r="C687" s="138" t="s">
        <v>842</v>
      </c>
      <c r="D687" s="144">
        <v>0</v>
      </c>
      <c r="E687" s="144">
        <v>0</v>
      </c>
      <c r="F687" s="144">
        <v>0</v>
      </c>
      <c r="G687" s="291">
        <v>0</v>
      </c>
      <c r="H687" s="150">
        <v>0</v>
      </c>
      <c r="I687" s="567">
        <f t="shared" si="18"/>
        <v>0</v>
      </c>
    </row>
    <row r="688" spans="1:9" x14ac:dyDescent="0.15">
      <c r="A688" s="138"/>
      <c r="B688" s="521" t="s">
        <v>843</v>
      </c>
      <c r="C688" s="138" t="s">
        <v>848</v>
      </c>
      <c r="D688" s="144">
        <v>0</v>
      </c>
      <c r="E688" s="144">
        <v>0</v>
      </c>
      <c r="F688" s="144">
        <v>0</v>
      </c>
      <c r="G688" s="291">
        <v>0</v>
      </c>
      <c r="H688" s="150">
        <v>0</v>
      </c>
      <c r="I688" s="567">
        <f t="shared" si="18"/>
        <v>0</v>
      </c>
    </row>
    <row r="689" spans="1:9" x14ac:dyDescent="0.15">
      <c r="A689" s="138"/>
      <c r="B689" s="521" t="s">
        <v>844</v>
      </c>
      <c r="C689" s="138" t="s">
        <v>153</v>
      </c>
      <c r="D689" s="144">
        <v>0</v>
      </c>
      <c r="E689" s="144">
        <v>0</v>
      </c>
      <c r="F689" s="144">
        <v>0</v>
      </c>
      <c r="G689" s="291">
        <v>0</v>
      </c>
      <c r="H689" s="150">
        <v>0</v>
      </c>
      <c r="I689" s="567">
        <f t="shared" si="18"/>
        <v>0</v>
      </c>
    </row>
    <row r="690" spans="1:9" x14ac:dyDescent="0.15">
      <c r="A690" s="138"/>
      <c r="B690" s="521" t="s">
        <v>845</v>
      </c>
      <c r="C690" s="138" t="s">
        <v>154</v>
      </c>
      <c r="D690" s="144">
        <v>0</v>
      </c>
      <c r="E690" s="144">
        <v>0</v>
      </c>
      <c r="F690" s="144">
        <v>0</v>
      </c>
      <c r="G690" s="291">
        <v>0</v>
      </c>
      <c r="H690" s="150">
        <v>0</v>
      </c>
      <c r="I690" s="567">
        <f t="shared" si="18"/>
        <v>0</v>
      </c>
    </row>
    <row r="691" spans="1:9" x14ac:dyDescent="0.15">
      <c r="A691" s="138"/>
      <c r="B691" s="521" t="s">
        <v>846</v>
      </c>
      <c r="C691" s="138" t="s">
        <v>155</v>
      </c>
      <c r="D691" s="144">
        <v>0</v>
      </c>
      <c r="E691" s="144">
        <v>0</v>
      </c>
      <c r="F691" s="144">
        <v>0</v>
      </c>
      <c r="G691" s="291">
        <v>0</v>
      </c>
      <c r="H691" s="150">
        <v>0</v>
      </c>
      <c r="I691" s="567">
        <f t="shared" si="18"/>
        <v>0</v>
      </c>
    </row>
    <row r="692" spans="1:9" x14ac:dyDescent="0.15">
      <c r="A692" s="138"/>
      <c r="B692" s="521" t="s">
        <v>1582</v>
      </c>
      <c r="C692" s="138" t="s">
        <v>156</v>
      </c>
      <c r="D692" s="144">
        <v>0</v>
      </c>
      <c r="E692" s="144">
        <v>0</v>
      </c>
      <c r="F692" s="144">
        <v>0</v>
      </c>
      <c r="G692" s="291">
        <v>0</v>
      </c>
      <c r="H692" s="150">
        <v>0</v>
      </c>
      <c r="I692" s="567">
        <f t="shared" si="18"/>
        <v>0</v>
      </c>
    </row>
    <row r="693" spans="1:9" x14ac:dyDescent="0.15">
      <c r="A693" s="138"/>
      <c r="B693" s="521" t="s">
        <v>847</v>
      </c>
      <c r="C693" s="138" t="s">
        <v>157</v>
      </c>
      <c r="D693" s="144">
        <v>0</v>
      </c>
      <c r="E693" s="144">
        <v>0</v>
      </c>
      <c r="F693" s="144">
        <v>0</v>
      </c>
      <c r="G693" s="291">
        <v>0</v>
      </c>
      <c r="H693" s="150">
        <v>0</v>
      </c>
      <c r="I693" s="567">
        <f t="shared" si="18"/>
        <v>0</v>
      </c>
    </row>
    <row r="694" spans="1:9" x14ac:dyDescent="0.15">
      <c r="A694" s="138"/>
      <c r="B694" s="521" t="s">
        <v>1583</v>
      </c>
      <c r="C694" s="138" t="s">
        <v>160</v>
      </c>
      <c r="D694" s="144">
        <v>0</v>
      </c>
      <c r="E694" s="144">
        <v>0</v>
      </c>
      <c r="F694" s="144">
        <v>0</v>
      </c>
      <c r="G694" s="291">
        <v>0</v>
      </c>
      <c r="H694" s="150">
        <v>0</v>
      </c>
      <c r="I694" s="567">
        <f t="shared" si="18"/>
        <v>0</v>
      </c>
    </row>
    <row r="695" spans="1:9" x14ac:dyDescent="0.15">
      <c r="A695" s="138"/>
      <c r="B695" s="521" t="s">
        <v>634</v>
      </c>
      <c r="C695" s="138" t="s">
        <v>165</v>
      </c>
      <c r="D695" s="144">
        <v>0</v>
      </c>
      <c r="E695" s="144">
        <v>0</v>
      </c>
      <c r="F695" s="144">
        <v>0</v>
      </c>
      <c r="G695" s="291">
        <v>0</v>
      </c>
      <c r="H695" s="150">
        <v>0</v>
      </c>
      <c r="I695" s="567">
        <f t="shared" si="18"/>
        <v>0</v>
      </c>
    </row>
    <row r="696" spans="1:9" x14ac:dyDescent="0.15">
      <c r="A696" s="138"/>
      <c r="B696" s="521" t="s">
        <v>630</v>
      </c>
      <c r="C696" s="138" t="s">
        <v>172</v>
      </c>
      <c r="D696" s="144">
        <v>0</v>
      </c>
      <c r="E696" s="144">
        <v>0</v>
      </c>
      <c r="F696" s="144">
        <v>0</v>
      </c>
      <c r="G696" s="291">
        <v>0</v>
      </c>
      <c r="H696" s="150">
        <v>0</v>
      </c>
      <c r="I696" s="567">
        <f t="shared" si="18"/>
        <v>0</v>
      </c>
    </row>
    <row r="697" spans="1:9" x14ac:dyDescent="0.15">
      <c r="A697" s="138"/>
      <c r="B697" s="650" t="s">
        <v>631</v>
      </c>
      <c r="C697" s="651" t="s">
        <v>173</v>
      </c>
      <c r="D697" s="144">
        <v>0</v>
      </c>
      <c r="E697" s="144">
        <v>0</v>
      </c>
      <c r="F697" s="144">
        <v>0</v>
      </c>
      <c r="G697" s="291">
        <v>0</v>
      </c>
      <c r="H697" s="150">
        <v>0</v>
      </c>
      <c r="I697" s="567">
        <f t="shared" si="18"/>
        <v>0</v>
      </c>
    </row>
    <row r="698" spans="1:9" x14ac:dyDescent="0.15">
      <c r="A698" s="138"/>
      <c r="B698" s="521" t="s">
        <v>1584</v>
      </c>
      <c r="C698" s="138" t="s">
        <v>178</v>
      </c>
      <c r="D698" s="144">
        <v>0</v>
      </c>
      <c r="E698" s="144">
        <v>0</v>
      </c>
      <c r="F698" s="144">
        <v>0</v>
      </c>
      <c r="G698" s="291">
        <v>0</v>
      </c>
      <c r="H698" s="150">
        <v>0</v>
      </c>
      <c r="I698" s="567">
        <f t="shared" si="18"/>
        <v>0</v>
      </c>
    </row>
    <row r="699" spans="1:9" x14ac:dyDescent="0.15">
      <c r="A699" s="138"/>
      <c r="B699" s="521" t="s">
        <v>174</v>
      </c>
      <c r="C699" s="138" t="s">
        <v>179</v>
      </c>
      <c r="D699" s="144">
        <v>0</v>
      </c>
      <c r="E699" s="144">
        <v>0</v>
      </c>
      <c r="F699" s="144">
        <v>0</v>
      </c>
      <c r="G699" s="291">
        <v>0</v>
      </c>
      <c r="H699" s="150">
        <v>0</v>
      </c>
      <c r="I699" s="567">
        <f t="shared" si="18"/>
        <v>0</v>
      </c>
    </row>
    <row r="700" spans="1:9" x14ac:dyDescent="0.15">
      <c r="A700" s="138"/>
      <c r="B700" s="521" t="s">
        <v>175</v>
      </c>
      <c r="C700" s="138" t="s">
        <v>180</v>
      </c>
      <c r="D700" s="144">
        <v>0</v>
      </c>
      <c r="E700" s="144">
        <v>0</v>
      </c>
      <c r="F700" s="144">
        <v>0</v>
      </c>
      <c r="G700" s="291">
        <v>0</v>
      </c>
      <c r="H700" s="150">
        <v>0</v>
      </c>
      <c r="I700" s="567">
        <f t="shared" si="18"/>
        <v>0</v>
      </c>
    </row>
    <row r="701" spans="1:9" ht="11.25" thickBot="1" x14ac:dyDescent="0.2">
      <c r="A701" s="138"/>
      <c r="B701" s="521" t="s">
        <v>176</v>
      </c>
      <c r="C701" s="138" t="s">
        <v>181</v>
      </c>
      <c r="D701" s="144">
        <v>0</v>
      </c>
      <c r="E701" s="144">
        <v>0</v>
      </c>
      <c r="F701" s="144">
        <v>0</v>
      </c>
      <c r="G701" s="291">
        <v>0</v>
      </c>
      <c r="H701" s="150">
        <v>0</v>
      </c>
      <c r="I701" s="567">
        <f t="shared" si="18"/>
        <v>0</v>
      </c>
    </row>
    <row r="702" spans="1:9" ht="12" thickTop="1" thickBot="1" x14ac:dyDescent="0.2">
      <c r="A702" s="138"/>
      <c r="B702" s="521"/>
      <c r="C702" s="138" t="s">
        <v>146</v>
      </c>
      <c r="D702" s="169">
        <f>SUM(D668:D701)</f>
        <v>0</v>
      </c>
      <c r="E702" s="169">
        <f>SUM(E668:E701)</f>
        <v>0</v>
      </c>
      <c r="F702" s="169">
        <f>SUM(F668:F701)</f>
        <v>0</v>
      </c>
      <c r="G702" s="169">
        <f>SUM(G668:G701)</f>
        <v>0</v>
      </c>
      <c r="H702" s="169">
        <f>SUM(H668:H701)</f>
        <v>0</v>
      </c>
      <c r="I702" s="169">
        <f t="shared" si="18"/>
        <v>0</v>
      </c>
    </row>
    <row r="703" spans="1:9" ht="11.25" thickTop="1" x14ac:dyDescent="0.15">
      <c r="A703" s="138"/>
      <c r="B703" s="138"/>
      <c r="C703" s="138"/>
      <c r="D703" s="14"/>
      <c r="E703" s="14"/>
      <c r="F703" s="14"/>
      <c r="G703" s="14"/>
      <c r="H703" s="14"/>
      <c r="I703" s="563"/>
    </row>
    <row r="704" spans="1:9" x14ac:dyDescent="0.15">
      <c r="A704" s="522" t="s">
        <v>334</v>
      </c>
      <c r="B704" s="138"/>
      <c r="C704" s="138"/>
      <c r="D704" s="14"/>
      <c r="E704" s="14"/>
      <c r="F704" s="14"/>
      <c r="G704" s="14"/>
      <c r="H704" s="14"/>
      <c r="I704" s="563"/>
    </row>
    <row r="705" spans="1:10" s="434" customFormat="1" x14ac:dyDescent="0.15">
      <c r="B705" s="523" t="s">
        <v>1577</v>
      </c>
      <c r="C705" s="524" t="s">
        <v>228</v>
      </c>
      <c r="D705" s="316">
        <v>0</v>
      </c>
      <c r="E705" s="316">
        <v>0</v>
      </c>
      <c r="F705" s="316">
        <v>0</v>
      </c>
      <c r="G705" s="528">
        <f t="array" ref="G705">SUM(IF(CertFund&amp;CertProg&amp;CertObj=RIGHT(LEFT($A$2,7),2)&amp;LEFT(A704,4)&amp;B705,CertSalary))</f>
        <v>0</v>
      </c>
      <c r="H705" s="527">
        <v>0</v>
      </c>
      <c r="I705" s="566">
        <f t="shared" ref="I705:I738" si="19">SUM(G705+H705)</f>
        <v>0</v>
      </c>
    </row>
    <row r="706" spans="1:10" s="434" customFormat="1" x14ac:dyDescent="0.15">
      <c r="B706" s="523" t="s">
        <v>1577</v>
      </c>
      <c r="C706" s="524" t="s">
        <v>510</v>
      </c>
      <c r="D706" s="316">
        <v>0</v>
      </c>
      <c r="E706" s="316">
        <v>0</v>
      </c>
      <c r="F706" s="316">
        <v>0</v>
      </c>
      <c r="G706" s="316">
        <v>0</v>
      </c>
      <c r="H706" s="527">
        <v>0</v>
      </c>
      <c r="I706" s="566">
        <f t="shared" si="19"/>
        <v>0</v>
      </c>
    </row>
    <row r="707" spans="1:10" s="434" customFormat="1" x14ac:dyDescent="0.15">
      <c r="A707" s="524"/>
      <c r="B707" s="523" t="s">
        <v>1578</v>
      </c>
      <c r="C707" s="524" t="s">
        <v>936</v>
      </c>
      <c r="D707" s="316">
        <v>0</v>
      </c>
      <c r="E707" s="316">
        <v>0</v>
      </c>
      <c r="F707" s="316">
        <v>0</v>
      </c>
      <c r="G707" s="529">
        <f t="array" ref="G707">SUM(IF(CertFund&amp;CertProg&amp;CertObj=RIGHT(LEFT($A$2,7),2)&amp;LEFT(A704,4)&amp;B705,CertBen))</f>
        <v>0</v>
      </c>
      <c r="H707" s="527">
        <v>0</v>
      </c>
      <c r="I707" s="566">
        <f t="shared" si="19"/>
        <v>0</v>
      </c>
    </row>
    <row r="708" spans="1:10" x14ac:dyDescent="0.15">
      <c r="A708" s="138"/>
      <c r="B708" s="521" t="s">
        <v>1578</v>
      </c>
      <c r="C708" s="138" t="s">
        <v>511</v>
      </c>
      <c r="D708" s="147">
        <v>0</v>
      </c>
      <c r="E708" s="147">
        <v>0</v>
      </c>
      <c r="F708" s="147">
        <v>0</v>
      </c>
      <c r="G708" s="147">
        <v>0</v>
      </c>
      <c r="H708" s="150">
        <v>0</v>
      </c>
      <c r="I708" s="567">
        <f t="shared" si="19"/>
        <v>0</v>
      </c>
      <c r="J708" s="434"/>
    </row>
    <row r="709" spans="1:10" x14ac:dyDescent="0.15">
      <c r="A709" s="138"/>
      <c r="B709" s="521" t="s">
        <v>1579</v>
      </c>
      <c r="C709" s="138" t="s">
        <v>118</v>
      </c>
      <c r="D709" s="144">
        <v>0</v>
      </c>
      <c r="E709" s="144">
        <v>0</v>
      </c>
      <c r="F709" s="144">
        <v>0</v>
      </c>
      <c r="G709" s="291">
        <v>0</v>
      </c>
      <c r="H709" s="150">
        <v>0</v>
      </c>
      <c r="I709" s="567">
        <f t="shared" si="19"/>
        <v>0</v>
      </c>
    </row>
    <row r="710" spans="1:10" x14ac:dyDescent="0.15">
      <c r="A710" s="138"/>
      <c r="B710" s="521" t="s">
        <v>1580</v>
      </c>
      <c r="C710" s="138" t="s">
        <v>119</v>
      </c>
      <c r="D710" s="144">
        <v>0</v>
      </c>
      <c r="E710" s="144">
        <v>0</v>
      </c>
      <c r="F710" s="144">
        <v>0</v>
      </c>
      <c r="G710" s="291">
        <v>0</v>
      </c>
      <c r="H710" s="150">
        <v>0</v>
      </c>
      <c r="I710" s="567">
        <f t="shared" si="19"/>
        <v>0</v>
      </c>
    </row>
    <row r="711" spans="1:10" x14ac:dyDescent="0.15">
      <c r="A711" s="138"/>
      <c r="B711" s="521" t="s">
        <v>120</v>
      </c>
      <c r="C711" s="138" t="s">
        <v>121</v>
      </c>
      <c r="D711" s="144">
        <v>0</v>
      </c>
      <c r="E711" s="144">
        <v>0</v>
      </c>
      <c r="F711" s="144">
        <v>0</v>
      </c>
      <c r="G711" s="291">
        <v>0</v>
      </c>
      <c r="H711" s="150">
        <v>0</v>
      </c>
      <c r="I711" s="567">
        <f t="shared" si="19"/>
        <v>0</v>
      </c>
    </row>
    <row r="712" spans="1:10" x14ac:dyDescent="0.15">
      <c r="A712" s="138"/>
      <c r="B712" s="521" t="s">
        <v>122</v>
      </c>
      <c r="C712" s="138" t="s">
        <v>123</v>
      </c>
      <c r="D712" s="144">
        <v>0</v>
      </c>
      <c r="E712" s="144">
        <v>0</v>
      </c>
      <c r="F712" s="144">
        <v>0</v>
      </c>
      <c r="G712" s="291">
        <v>0</v>
      </c>
      <c r="H712" s="150">
        <v>0</v>
      </c>
      <c r="I712" s="567">
        <f t="shared" si="19"/>
        <v>0</v>
      </c>
    </row>
    <row r="713" spans="1:10" x14ac:dyDescent="0.15">
      <c r="A713" s="138"/>
      <c r="B713" s="521" t="s">
        <v>1581</v>
      </c>
      <c r="C713" s="138" t="s">
        <v>124</v>
      </c>
      <c r="D713" s="144">
        <v>0</v>
      </c>
      <c r="E713" s="144">
        <v>0</v>
      </c>
      <c r="F713" s="144">
        <v>0</v>
      </c>
      <c r="G713" s="291">
        <v>0</v>
      </c>
      <c r="H713" s="150">
        <v>0</v>
      </c>
      <c r="I713" s="567">
        <f t="shared" si="19"/>
        <v>0</v>
      </c>
    </row>
    <row r="714" spans="1:10" x14ac:dyDescent="0.15">
      <c r="A714" s="138"/>
      <c r="B714" s="521" t="s">
        <v>127</v>
      </c>
      <c r="C714" s="138" t="s">
        <v>134</v>
      </c>
      <c r="D714" s="144">
        <v>0</v>
      </c>
      <c r="E714" s="144">
        <v>0</v>
      </c>
      <c r="F714" s="144">
        <v>0</v>
      </c>
      <c r="G714" s="291">
        <v>0</v>
      </c>
      <c r="H714" s="150">
        <v>0</v>
      </c>
      <c r="I714" s="567">
        <f t="shared" si="19"/>
        <v>0</v>
      </c>
    </row>
    <row r="715" spans="1:10" x14ac:dyDescent="0.15">
      <c r="A715" s="138"/>
      <c r="B715" s="521" t="s">
        <v>128</v>
      </c>
      <c r="C715" s="138" t="s">
        <v>135</v>
      </c>
      <c r="D715" s="144">
        <v>0</v>
      </c>
      <c r="E715" s="144">
        <v>0</v>
      </c>
      <c r="F715" s="144">
        <v>0</v>
      </c>
      <c r="G715" s="291">
        <v>0</v>
      </c>
      <c r="H715" s="150">
        <v>0</v>
      </c>
      <c r="I715" s="567">
        <f t="shared" si="19"/>
        <v>0</v>
      </c>
    </row>
    <row r="716" spans="1:10" x14ac:dyDescent="0.15">
      <c r="A716" s="138"/>
      <c r="B716" s="521" t="s">
        <v>132</v>
      </c>
      <c r="C716" s="138" t="s">
        <v>1617</v>
      </c>
      <c r="D716" s="144">
        <v>0</v>
      </c>
      <c r="E716" s="144">
        <v>0</v>
      </c>
      <c r="F716" s="144">
        <v>0</v>
      </c>
      <c r="G716" s="291">
        <v>0</v>
      </c>
      <c r="H716" s="150">
        <v>0</v>
      </c>
      <c r="I716" s="567">
        <f t="shared" si="19"/>
        <v>0</v>
      </c>
    </row>
    <row r="717" spans="1:10" x14ac:dyDescent="0.15">
      <c r="A717" s="138"/>
      <c r="B717" s="521" t="s">
        <v>1618</v>
      </c>
      <c r="C717" s="138" t="s">
        <v>836</v>
      </c>
      <c r="D717" s="144">
        <v>0</v>
      </c>
      <c r="E717" s="144">
        <v>0</v>
      </c>
      <c r="F717" s="144">
        <v>0</v>
      </c>
      <c r="G717" s="291">
        <v>0</v>
      </c>
      <c r="H717" s="150">
        <v>0</v>
      </c>
      <c r="I717" s="567">
        <f t="shared" si="19"/>
        <v>0</v>
      </c>
    </row>
    <row r="718" spans="1:10" x14ac:dyDescent="0.15">
      <c r="A718" s="138"/>
      <c r="B718" s="521" t="s">
        <v>1619</v>
      </c>
      <c r="C718" s="138" t="s">
        <v>837</v>
      </c>
      <c r="D718" s="144">
        <v>0</v>
      </c>
      <c r="E718" s="144">
        <v>0</v>
      </c>
      <c r="F718" s="144">
        <v>0</v>
      </c>
      <c r="G718" s="291">
        <v>0</v>
      </c>
      <c r="H718" s="150">
        <v>0</v>
      </c>
      <c r="I718" s="567">
        <f t="shared" si="19"/>
        <v>0</v>
      </c>
    </row>
    <row r="719" spans="1:10" x14ac:dyDescent="0.15">
      <c r="A719" s="138"/>
      <c r="B719" s="521" t="s">
        <v>1620</v>
      </c>
      <c r="C719" s="138" t="s">
        <v>838</v>
      </c>
      <c r="D719" s="144">
        <v>0</v>
      </c>
      <c r="E719" s="144">
        <v>0</v>
      </c>
      <c r="F719" s="144">
        <v>0</v>
      </c>
      <c r="G719" s="291">
        <v>0</v>
      </c>
      <c r="H719" s="150">
        <v>0</v>
      </c>
      <c r="I719" s="567">
        <f t="shared" si="19"/>
        <v>0</v>
      </c>
    </row>
    <row r="720" spans="1:10" x14ac:dyDescent="0.15">
      <c r="A720" s="138"/>
      <c r="B720" s="521" t="s">
        <v>1621</v>
      </c>
      <c r="C720" s="138" t="s">
        <v>839</v>
      </c>
      <c r="D720" s="144">
        <v>0</v>
      </c>
      <c r="E720" s="144">
        <v>0</v>
      </c>
      <c r="F720" s="144">
        <v>0</v>
      </c>
      <c r="G720" s="291">
        <v>0</v>
      </c>
      <c r="H720" s="150">
        <v>0</v>
      </c>
      <c r="I720" s="567">
        <f t="shared" si="19"/>
        <v>0</v>
      </c>
    </row>
    <row r="721" spans="1:9" x14ac:dyDescent="0.15">
      <c r="A721" s="138"/>
      <c r="B721" s="521" t="s">
        <v>1622</v>
      </c>
      <c r="C721" s="138" t="s">
        <v>190</v>
      </c>
      <c r="D721" s="144">
        <v>0</v>
      </c>
      <c r="E721" s="144">
        <v>0</v>
      </c>
      <c r="F721" s="144">
        <v>0</v>
      </c>
      <c r="G721" s="291">
        <v>0</v>
      </c>
      <c r="H721" s="150">
        <v>0</v>
      </c>
      <c r="I721" s="567">
        <f t="shared" si="19"/>
        <v>0</v>
      </c>
    </row>
    <row r="722" spans="1:9" x14ac:dyDescent="0.15">
      <c r="A722" s="138"/>
      <c r="B722" s="521" t="s">
        <v>1623</v>
      </c>
      <c r="C722" s="138" t="s">
        <v>191</v>
      </c>
      <c r="D722" s="144">
        <v>0</v>
      </c>
      <c r="E722" s="144">
        <v>0</v>
      </c>
      <c r="F722" s="144">
        <v>0</v>
      </c>
      <c r="G722" s="291">
        <v>0</v>
      </c>
      <c r="H722" s="150">
        <v>0</v>
      </c>
      <c r="I722" s="567">
        <f t="shared" si="19"/>
        <v>0</v>
      </c>
    </row>
    <row r="723" spans="1:9" x14ac:dyDescent="0.15">
      <c r="A723" s="138"/>
      <c r="B723" s="521" t="s">
        <v>1624</v>
      </c>
      <c r="C723" s="138" t="s">
        <v>840</v>
      </c>
      <c r="D723" s="144">
        <v>0</v>
      </c>
      <c r="E723" s="144">
        <v>0</v>
      </c>
      <c r="F723" s="144">
        <v>0</v>
      </c>
      <c r="G723" s="291">
        <v>0</v>
      </c>
      <c r="H723" s="150">
        <v>0</v>
      </c>
      <c r="I723" s="567">
        <f t="shared" si="19"/>
        <v>0</v>
      </c>
    </row>
    <row r="724" spans="1:9" x14ac:dyDescent="0.15">
      <c r="A724" s="138"/>
      <c r="B724" s="521" t="s">
        <v>1625</v>
      </c>
      <c r="C724" s="138" t="s">
        <v>842</v>
      </c>
      <c r="D724" s="144">
        <v>0</v>
      </c>
      <c r="E724" s="144">
        <v>0</v>
      </c>
      <c r="F724" s="144">
        <v>0</v>
      </c>
      <c r="G724" s="291">
        <v>0</v>
      </c>
      <c r="H724" s="150">
        <v>0</v>
      </c>
      <c r="I724" s="567">
        <f t="shared" si="19"/>
        <v>0</v>
      </c>
    </row>
    <row r="725" spans="1:9" x14ac:dyDescent="0.15">
      <c r="A725" s="138"/>
      <c r="B725" s="521" t="s">
        <v>843</v>
      </c>
      <c r="C725" s="138" t="s">
        <v>848</v>
      </c>
      <c r="D725" s="144">
        <v>0</v>
      </c>
      <c r="E725" s="144">
        <v>0</v>
      </c>
      <c r="F725" s="144">
        <v>0</v>
      </c>
      <c r="G725" s="291">
        <v>0</v>
      </c>
      <c r="H725" s="150">
        <v>0</v>
      </c>
      <c r="I725" s="567">
        <f t="shared" si="19"/>
        <v>0</v>
      </c>
    </row>
    <row r="726" spans="1:9" x14ac:dyDescent="0.15">
      <c r="A726" s="138"/>
      <c r="B726" s="521" t="s">
        <v>844</v>
      </c>
      <c r="C726" s="138" t="s">
        <v>153</v>
      </c>
      <c r="D726" s="144">
        <v>0</v>
      </c>
      <c r="E726" s="144">
        <v>0</v>
      </c>
      <c r="F726" s="144">
        <v>0</v>
      </c>
      <c r="G726" s="291">
        <v>0</v>
      </c>
      <c r="H726" s="150">
        <v>0</v>
      </c>
      <c r="I726" s="567">
        <f t="shared" si="19"/>
        <v>0</v>
      </c>
    </row>
    <row r="727" spans="1:9" x14ac:dyDescent="0.15">
      <c r="A727" s="138"/>
      <c r="B727" s="521" t="s">
        <v>845</v>
      </c>
      <c r="C727" s="138" t="s">
        <v>154</v>
      </c>
      <c r="D727" s="144">
        <v>0</v>
      </c>
      <c r="E727" s="144">
        <v>0</v>
      </c>
      <c r="F727" s="144">
        <v>0</v>
      </c>
      <c r="G727" s="291">
        <v>0</v>
      </c>
      <c r="H727" s="150">
        <v>0</v>
      </c>
      <c r="I727" s="567">
        <f t="shared" si="19"/>
        <v>0</v>
      </c>
    </row>
    <row r="728" spans="1:9" x14ac:dyDescent="0.15">
      <c r="A728" s="138"/>
      <c r="B728" s="521" t="s">
        <v>846</v>
      </c>
      <c r="C728" s="138" t="s">
        <v>155</v>
      </c>
      <c r="D728" s="144">
        <v>0</v>
      </c>
      <c r="E728" s="144">
        <v>0</v>
      </c>
      <c r="F728" s="144">
        <v>0</v>
      </c>
      <c r="G728" s="291">
        <v>0</v>
      </c>
      <c r="H728" s="150">
        <v>0</v>
      </c>
      <c r="I728" s="567">
        <f t="shared" si="19"/>
        <v>0</v>
      </c>
    </row>
    <row r="729" spans="1:9" x14ac:dyDescent="0.15">
      <c r="A729" s="138"/>
      <c r="B729" s="521" t="s">
        <v>1582</v>
      </c>
      <c r="C729" s="138" t="s">
        <v>156</v>
      </c>
      <c r="D729" s="144">
        <v>0</v>
      </c>
      <c r="E729" s="144">
        <v>0</v>
      </c>
      <c r="F729" s="144">
        <v>0</v>
      </c>
      <c r="G729" s="291">
        <v>0</v>
      </c>
      <c r="H729" s="150">
        <v>0</v>
      </c>
      <c r="I729" s="567">
        <f t="shared" si="19"/>
        <v>0</v>
      </c>
    </row>
    <row r="730" spans="1:9" x14ac:dyDescent="0.15">
      <c r="A730" s="138"/>
      <c r="B730" s="521" t="s">
        <v>847</v>
      </c>
      <c r="C730" s="138" t="s">
        <v>157</v>
      </c>
      <c r="D730" s="144">
        <v>0</v>
      </c>
      <c r="E730" s="144">
        <v>0</v>
      </c>
      <c r="F730" s="144">
        <v>0</v>
      </c>
      <c r="G730" s="291">
        <v>0</v>
      </c>
      <c r="H730" s="150">
        <v>0</v>
      </c>
      <c r="I730" s="567">
        <f t="shared" si="19"/>
        <v>0</v>
      </c>
    </row>
    <row r="731" spans="1:9" x14ac:dyDescent="0.15">
      <c r="A731" s="138"/>
      <c r="B731" s="521" t="s">
        <v>1583</v>
      </c>
      <c r="C731" s="138" t="s">
        <v>160</v>
      </c>
      <c r="D731" s="144">
        <v>0</v>
      </c>
      <c r="E731" s="144">
        <v>0</v>
      </c>
      <c r="F731" s="144">
        <v>0</v>
      </c>
      <c r="G731" s="291">
        <v>0</v>
      </c>
      <c r="H731" s="150">
        <v>0</v>
      </c>
      <c r="I731" s="567">
        <f t="shared" si="19"/>
        <v>0</v>
      </c>
    </row>
    <row r="732" spans="1:9" x14ac:dyDescent="0.15">
      <c r="A732" s="138"/>
      <c r="B732" s="521" t="s">
        <v>634</v>
      </c>
      <c r="C732" s="138" t="s">
        <v>165</v>
      </c>
      <c r="D732" s="144">
        <v>0</v>
      </c>
      <c r="E732" s="144">
        <v>0</v>
      </c>
      <c r="F732" s="144">
        <v>0</v>
      </c>
      <c r="G732" s="291">
        <v>0</v>
      </c>
      <c r="H732" s="150">
        <v>0</v>
      </c>
      <c r="I732" s="567">
        <f t="shared" si="19"/>
        <v>0</v>
      </c>
    </row>
    <row r="733" spans="1:9" x14ac:dyDescent="0.15">
      <c r="A733" s="138"/>
      <c r="B733" s="521" t="s">
        <v>630</v>
      </c>
      <c r="C733" s="138" t="s">
        <v>172</v>
      </c>
      <c r="D733" s="144">
        <v>0</v>
      </c>
      <c r="E733" s="144">
        <v>0</v>
      </c>
      <c r="F733" s="144">
        <v>0</v>
      </c>
      <c r="G733" s="291">
        <v>0</v>
      </c>
      <c r="H733" s="150">
        <v>0</v>
      </c>
      <c r="I733" s="567">
        <f t="shared" si="19"/>
        <v>0</v>
      </c>
    </row>
    <row r="734" spans="1:9" x14ac:dyDescent="0.15">
      <c r="A734" s="138"/>
      <c r="B734" s="650" t="s">
        <v>631</v>
      </c>
      <c r="C734" s="651" t="s">
        <v>173</v>
      </c>
      <c r="D734" s="144">
        <v>0</v>
      </c>
      <c r="E734" s="144">
        <v>0</v>
      </c>
      <c r="F734" s="144">
        <v>0</v>
      </c>
      <c r="G734" s="291">
        <v>0</v>
      </c>
      <c r="H734" s="150">
        <v>0</v>
      </c>
      <c r="I734" s="567">
        <f t="shared" si="19"/>
        <v>0</v>
      </c>
    </row>
    <row r="735" spans="1:9" x14ac:dyDescent="0.15">
      <c r="A735" s="138"/>
      <c r="B735" s="521" t="s">
        <v>1584</v>
      </c>
      <c r="C735" s="138" t="s">
        <v>178</v>
      </c>
      <c r="D735" s="144">
        <v>0</v>
      </c>
      <c r="E735" s="144">
        <v>0</v>
      </c>
      <c r="F735" s="144">
        <v>0</v>
      </c>
      <c r="G735" s="291">
        <v>0</v>
      </c>
      <c r="H735" s="150">
        <v>0</v>
      </c>
      <c r="I735" s="567">
        <f t="shared" si="19"/>
        <v>0</v>
      </c>
    </row>
    <row r="736" spans="1:9" x14ac:dyDescent="0.15">
      <c r="A736" s="138"/>
      <c r="B736" s="521" t="s">
        <v>174</v>
      </c>
      <c r="C736" s="138" t="s">
        <v>179</v>
      </c>
      <c r="D736" s="144">
        <v>0</v>
      </c>
      <c r="E736" s="144">
        <v>0</v>
      </c>
      <c r="F736" s="144">
        <v>0</v>
      </c>
      <c r="G736" s="291">
        <v>0</v>
      </c>
      <c r="H736" s="150">
        <v>0</v>
      </c>
      <c r="I736" s="567">
        <f t="shared" si="19"/>
        <v>0</v>
      </c>
    </row>
    <row r="737" spans="1:10" x14ac:dyDescent="0.15">
      <c r="A737" s="138"/>
      <c r="B737" s="521" t="s">
        <v>175</v>
      </c>
      <c r="C737" s="138" t="s">
        <v>180</v>
      </c>
      <c r="D737" s="144">
        <v>0</v>
      </c>
      <c r="E737" s="144">
        <v>0</v>
      </c>
      <c r="F737" s="144">
        <v>0</v>
      </c>
      <c r="G737" s="291">
        <v>0</v>
      </c>
      <c r="H737" s="150">
        <v>0</v>
      </c>
      <c r="I737" s="567">
        <f t="shared" si="19"/>
        <v>0</v>
      </c>
    </row>
    <row r="738" spans="1:10" ht="11.25" thickBot="1" x14ac:dyDescent="0.2">
      <c r="A738" s="138"/>
      <c r="B738" s="521" t="s">
        <v>176</v>
      </c>
      <c r="C738" s="138" t="s">
        <v>181</v>
      </c>
      <c r="D738" s="144">
        <v>0</v>
      </c>
      <c r="E738" s="144">
        <v>0</v>
      </c>
      <c r="F738" s="144">
        <v>0</v>
      </c>
      <c r="G738" s="291">
        <v>0</v>
      </c>
      <c r="H738" s="150">
        <v>0</v>
      </c>
      <c r="I738" s="567">
        <f t="shared" si="19"/>
        <v>0</v>
      </c>
    </row>
    <row r="739" spans="1:10" ht="12" thickTop="1" thickBot="1" x14ac:dyDescent="0.2">
      <c r="A739" s="138"/>
      <c r="B739" s="521"/>
      <c r="C739" s="138" t="s">
        <v>373</v>
      </c>
      <c r="D739" s="169">
        <f>SUM(D705:D738)</f>
        <v>0</v>
      </c>
      <c r="E739" s="169">
        <f>SUM(E705:E738)</f>
        <v>0</v>
      </c>
      <c r="F739" s="169">
        <f>SUM(F705:F738)</f>
        <v>0</v>
      </c>
      <c r="G739" s="169">
        <f>SUM(G705:G738)</f>
        <v>0</v>
      </c>
      <c r="H739" s="169">
        <f>SUM(H705:H738)</f>
        <v>0</v>
      </c>
      <c r="I739" s="169">
        <f>SUM(G739+H739)</f>
        <v>0</v>
      </c>
    </row>
    <row r="740" spans="1:10" ht="11.25" thickTop="1" x14ac:dyDescent="0.15">
      <c r="A740" s="138"/>
      <c r="B740" s="138"/>
      <c r="C740" s="138"/>
      <c r="D740" s="14"/>
      <c r="E740" s="14"/>
      <c r="F740" s="14"/>
      <c r="G740" s="14"/>
      <c r="H740" s="14"/>
      <c r="I740" s="563"/>
    </row>
    <row r="741" spans="1:10" x14ac:dyDescent="0.15">
      <c r="A741" s="522" t="s">
        <v>374</v>
      </c>
      <c r="B741" s="138"/>
      <c r="C741" s="138"/>
      <c r="D741" s="14"/>
      <c r="E741" s="14"/>
      <c r="F741" s="14"/>
      <c r="G741" s="14"/>
      <c r="H741" s="14"/>
      <c r="I741" s="563"/>
    </row>
    <row r="742" spans="1:10" s="434" customFormat="1" x14ac:dyDescent="0.15">
      <c r="B742" s="523" t="s">
        <v>1577</v>
      </c>
      <c r="C742" s="524" t="s">
        <v>228</v>
      </c>
      <c r="D742" s="316">
        <v>0</v>
      </c>
      <c r="E742" s="316">
        <v>0</v>
      </c>
      <c r="F742" s="316">
        <v>0</v>
      </c>
      <c r="G742" s="528">
        <f t="array" ref="G742">SUM(IF(CertFund&amp;CertProg&amp;CertObj=RIGHT(LEFT($A$2,7),2)&amp;LEFT(A741,4)&amp;B742,CertSalary))</f>
        <v>0</v>
      </c>
      <c r="H742" s="527">
        <v>0</v>
      </c>
      <c r="I742" s="566">
        <f t="shared" ref="I742:I775" si="20">SUM(G742+H742)</f>
        <v>0</v>
      </c>
    </row>
    <row r="743" spans="1:10" s="434" customFormat="1" x14ac:dyDescent="0.15">
      <c r="B743" s="523" t="s">
        <v>1577</v>
      </c>
      <c r="C743" s="524" t="s">
        <v>510</v>
      </c>
      <c r="D743" s="316">
        <v>0</v>
      </c>
      <c r="E743" s="316">
        <v>0</v>
      </c>
      <c r="F743" s="316">
        <v>0</v>
      </c>
      <c r="G743" s="316">
        <v>0</v>
      </c>
      <c r="H743" s="527">
        <v>0</v>
      </c>
      <c r="I743" s="566">
        <f t="shared" si="20"/>
        <v>0</v>
      </c>
    </row>
    <row r="744" spans="1:10" s="434" customFormat="1" x14ac:dyDescent="0.15">
      <c r="A744" s="524"/>
      <c r="B744" s="523" t="s">
        <v>1578</v>
      </c>
      <c r="C744" s="524" t="s">
        <v>936</v>
      </c>
      <c r="D744" s="316">
        <v>0</v>
      </c>
      <c r="E744" s="316">
        <v>0</v>
      </c>
      <c r="F744" s="316">
        <v>0</v>
      </c>
      <c r="G744" s="529">
        <f t="array" ref="G744">SUM(IF(CertFund&amp;CertProg&amp;CertObj=RIGHT(LEFT($A$2,7),2)&amp;LEFT(A741,4)&amp;B742,CertBen))</f>
        <v>0</v>
      </c>
      <c r="H744" s="527">
        <v>0</v>
      </c>
      <c r="I744" s="566">
        <f t="shared" si="20"/>
        <v>0</v>
      </c>
    </row>
    <row r="745" spans="1:10" x14ac:dyDescent="0.15">
      <c r="A745" s="138"/>
      <c r="B745" s="521" t="s">
        <v>1578</v>
      </c>
      <c r="C745" s="138" t="s">
        <v>511</v>
      </c>
      <c r="D745" s="147">
        <v>0</v>
      </c>
      <c r="E745" s="147">
        <v>0</v>
      </c>
      <c r="F745" s="147">
        <v>0</v>
      </c>
      <c r="G745" s="147">
        <v>0</v>
      </c>
      <c r="H745" s="150">
        <v>0</v>
      </c>
      <c r="I745" s="567">
        <f t="shared" si="20"/>
        <v>0</v>
      </c>
      <c r="J745" s="434"/>
    </row>
    <row r="746" spans="1:10" x14ac:dyDescent="0.15">
      <c r="A746" s="138"/>
      <c r="B746" s="521" t="s">
        <v>1579</v>
      </c>
      <c r="C746" s="138" t="s">
        <v>118</v>
      </c>
      <c r="D746" s="144">
        <v>0</v>
      </c>
      <c r="E746" s="144">
        <v>0</v>
      </c>
      <c r="F746" s="144">
        <v>0</v>
      </c>
      <c r="G746" s="291">
        <v>0</v>
      </c>
      <c r="H746" s="150">
        <v>0</v>
      </c>
      <c r="I746" s="567">
        <f t="shared" si="20"/>
        <v>0</v>
      </c>
    </row>
    <row r="747" spans="1:10" x14ac:dyDescent="0.15">
      <c r="A747" s="138"/>
      <c r="B747" s="521" t="s">
        <v>1580</v>
      </c>
      <c r="C747" s="138" t="s">
        <v>119</v>
      </c>
      <c r="D747" s="144">
        <v>0</v>
      </c>
      <c r="E747" s="144">
        <v>0</v>
      </c>
      <c r="F747" s="144">
        <v>0</v>
      </c>
      <c r="G747" s="291">
        <v>0</v>
      </c>
      <c r="H747" s="150">
        <v>0</v>
      </c>
      <c r="I747" s="567">
        <f t="shared" si="20"/>
        <v>0</v>
      </c>
    </row>
    <row r="748" spans="1:10" x14ac:dyDescent="0.15">
      <c r="A748" s="138"/>
      <c r="B748" s="521" t="s">
        <v>120</v>
      </c>
      <c r="C748" s="138" t="s">
        <v>121</v>
      </c>
      <c r="D748" s="144">
        <v>0</v>
      </c>
      <c r="E748" s="144">
        <v>0</v>
      </c>
      <c r="F748" s="144">
        <v>0</v>
      </c>
      <c r="G748" s="291">
        <v>0</v>
      </c>
      <c r="H748" s="150">
        <v>0</v>
      </c>
      <c r="I748" s="567">
        <f t="shared" si="20"/>
        <v>0</v>
      </c>
    </row>
    <row r="749" spans="1:10" x14ac:dyDescent="0.15">
      <c r="A749" s="138"/>
      <c r="B749" s="521" t="s">
        <v>122</v>
      </c>
      <c r="C749" s="138" t="s">
        <v>123</v>
      </c>
      <c r="D749" s="144">
        <v>0</v>
      </c>
      <c r="E749" s="144">
        <v>0</v>
      </c>
      <c r="F749" s="144">
        <v>0</v>
      </c>
      <c r="G749" s="291">
        <v>0</v>
      </c>
      <c r="H749" s="150">
        <v>0</v>
      </c>
      <c r="I749" s="567">
        <f t="shared" si="20"/>
        <v>0</v>
      </c>
    </row>
    <row r="750" spans="1:10" x14ac:dyDescent="0.15">
      <c r="A750" s="138"/>
      <c r="B750" s="521" t="s">
        <v>1581</v>
      </c>
      <c r="C750" s="138" t="s">
        <v>124</v>
      </c>
      <c r="D750" s="144">
        <v>0</v>
      </c>
      <c r="E750" s="144">
        <v>0</v>
      </c>
      <c r="F750" s="144">
        <v>0</v>
      </c>
      <c r="G750" s="291">
        <v>0</v>
      </c>
      <c r="H750" s="150">
        <v>0</v>
      </c>
      <c r="I750" s="567">
        <f t="shared" si="20"/>
        <v>0</v>
      </c>
    </row>
    <row r="751" spans="1:10" x14ac:dyDescent="0.15">
      <c r="A751" s="138"/>
      <c r="B751" s="521" t="s">
        <v>127</v>
      </c>
      <c r="C751" s="138" t="s">
        <v>134</v>
      </c>
      <c r="D751" s="144">
        <v>0</v>
      </c>
      <c r="E751" s="144">
        <v>0</v>
      </c>
      <c r="F751" s="144">
        <v>0</v>
      </c>
      <c r="G751" s="291">
        <v>0</v>
      </c>
      <c r="H751" s="150">
        <v>0</v>
      </c>
      <c r="I751" s="567">
        <f t="shared" si="20"/>
        <v>0</v>
      </c>
    </row>
    <row r="752" spans="1:10" x14ac:dyDescent="0.15">
      <c r="A752" s="138"/>
      <c r="B752" s="521" t="s">
        <v>128</v>
      </c>
      <c r="C752" s="138" t="s">
        <v>135</v>
      </c>
      <c r="D752" s="144">
        <v>0</v>
      </c>
      <c r="E752" s="144">
        <v>0</v>
      </c>
      <c r="F752" s="144">
        <v>0</v>
      </c>
      <c r="G752" s="291">
        <v>0</v>
      </c>
      <c r="H752" s="150">
        <v>0</v>
      </c>
      <c r="I752" s="567">
        <f t="shared" si="20"/>
        <v>0</v>
      </c>
    </row>
    <row r="753" spans="1:9" x14ac:dyDescent="0.15">
      <c r="A753" s="138"/>
      <c r="B753" s="521" t="s">
        <v>132</v>
      </c>
      <c r="C753" s="138" t="s">
        <v>1617</v>
      </c>
      <c r="D753" s="144">
        <v>0</v>
      </c>
      <c r="E753" s="144">
        <v>0</v>
      </c>
      <c r="F753" s="144">
        <v>0</v>
      </c>
      <c r="G753" s="291">
        <v>0</v>
      </c>
      <c r="H753" s="150">
        <v>0</v>
      </c>
      <c r="I753" s="567">
        <f t="shared" si="20"/>
        <v>0</v>
      </c>
    </row>
    <row r="754" spans="1:9" x14ac:dyDescent="0.15">
      <c r="A754" s="138"/>
      <c r="B754" s="521" t="s">
        <v>1618</v>
      </c>
      <c r="C754" s="138" t="s">
        <v>836</v>
      </c>
      <c r="D754" s="144">
        <v>0</v>
      </c>
      <c r="E754" s="144">
        <v>0</v>
      </c>
      <c r="F754" s="144">
        <v>0</v>
      </c>
      <c r="G754" s="291">
        <v>0</v>
      </c>
      <c r="H754" s="150">
        <v>0</v>
      </c>
      <c r="I754" s="567">
        <f t="shared" si="20"/>
        <v>0</v>
      </c>
    </row>
    <row r="755" spans="1:9" x14ac:dyDescent="0.15">
      <c r="A755" s="138"/>
      <c r="B755" s="521" t="s">
        <v>1619</v>
      </c>
      <c r="C755" s="138" t="s">
        <v>837</v>
      </c>
      <c r="D755" s="144">
        <v>0</v>
      </c>
      <c r="E755" s="144">
        <v>0</v>
      </c>
      <c r="F755" s="144">
        <v>0</v>
      </c>
      <c r="G755" s="291">
        <v>0</v>
      </c>
      <c r="H755" s="150">
        <v>0</v>
      </c>
      <c r="I755" s="567">
        <f t="shared" si="20"/>
        <v>0</v>
      </c>
    </row>
    <row r="756" spans="1:9" x14ac:dyDescent="0.15">
      <c r="A756" s="138"/>
      <c r="B756" s="521" t="s">
        <v>1620</v>
      </c>
      <c r="C756" s="138" t="s">
        <v>838</v>
      </c>
      <c r="D756" s="144">
        <v>0</v>
      </c>
      <c r="E756" s="144">
        <v>0</v>
      </c>
      <c r="F756" s="144">
        <v>0</v>
      </c>
      <c r="G756" s="291">
        <v>0</v>
      </c>
      <c r="H756" s="150">
        <v>0</v>
      </c>
      <c r="I756" s="567">
        <f t="shared" si="20"/>
        <v>0</v>
      </c>
    </row>
    <row r="757" spans="1:9" x14ac:dyDescent="0.15">
      <c r="A757" s="138"/>
      <c r="B757" s="521" t="s">
        <v>1621</v>
      </c>
      <c r="C757" s="138" t="s">
        <v>839</v>
      </c>
      <c r="D757" s="144">
        <v>0</v>
      </c>
      <c r="E757" s="144">
        <v>0</v>
      </c>
      <c r="F757" s="144">
        <v>0</v>
      </c>
      <c r="G757" s="291">
        <v>0</v>
      </c>
      <c r="H757" s="150">
        <v>0</v>
      </c>
      <c r="I757" s="567">
        <f t="shared" si="20"/>
        <v>0</v>
      </c>
    </row>
    <row r="758" spans="1:9" x14ac:dyDescent="0.15">
      <c r="A758" s="138"/>
      <c r="B758" s="521" t="s">
        <v>1622</v>
      </c>
      <c r="C758" s="138" t="s">
        <v>190</v>
      </c>
      <c r="D758" s="144">
        <v>0</v>
      </c>
      <c r="E758" s="144">
        <v>0</v>
      </c>
      <c r="F758" s="144">
        <v>0</v>
      </c>
      <c r="G758" s="291">
        <v>0</v>
      </c>
      <c r="H758" s="150">
        <v>0</v>
      </c>
      <c r="I758" s="567">
        <f t="shared" si="20"/>
        <v>0</v>
      </c>
    </row>
    <row r="759" spans="1:9" x14ac:dyDescent="0.15">
      <c r="A759" s="138"/>
      <c r="B759" s="521" t="s">
        <v>1623</v>
      </c>
      <c r="C759" s="138" t="s">
        <v>191</v>
      </c>
      <c r="D759" s="144">
        <v>0</v>
      </c>
      <c r="E759" s="144">
        <v>0</v>
      </c>
      <c r="F759" s="144">
        <v>0</v>
      </c>
      <c r="G759" s="291">
        <v>0</v>
      </c>
      <c r="H759" s="150">
        <v>0</v>
      </c>
      <c r="I759" s="567">
        <f t="shared" si="20"/>
        <v>0</v>
      </c>
    </row>
    <row r="760" spans="1:9" x14ac:dyDescent="0.15">
      <c r="A760" s="138"/>
      <c r="B760" s="521" t="s">
        <v>1624</v>
      </c>
      <c r="C760" s="138" t="s">
        <v>840</v>
      </c>
      <c r="D760" s="144">
        <v>0</v>
      </c>
      <c r="E760" s="144">
        <v>0</v>
      </c>
      <c r="F760" s="144">
        <v>0</v>
      </c>
      <c r="G760" s="291">
        <v>0</v>
      </c>
      <c r="H760" s="150">
        <v>0</v>
      </c>
      <c r="I760" s="567">
        <f t="shared" si="20"/>
        <v>0</v>
      </c>
    </row>
    <row r="761" spans="1:9" x14ac:dyDescent="0.15">
      <c r="A761" s="138"/>
      <c r="B761" s="521" t="s">
        <v>1625</v>
      </c>
      <c r="C761" s="138" t="s">
        <v>842</v>
      </c>
      <c r="D761" s="144">
        <v>0</v>
      </c>
      <c r="E761" s="144">
        <v>0</v>
      </c>
      <c r="F761" s="144">
        <v>0</v>
      </c>
      <c r="G761" s="291">
        <v>0</v>
      </c>
      <c r="H761" s="150">
        <v>0</v>
      </c>
      <c r="I761" s="567">
        <f t="shared" si="20"/>
        <v>0</v>
      </c>
    </row>
    <row r="762" spans="1:9" x14ac:dyDescent="0.15">
      <c r="A762" s="138"/>
      <c r="B762" s="521" t="s">
        <v>843</v>
      </c>
      <c r="C762" s="138" t="s">
        <v>848</v>
      </c>
      <c r="D762" s="144">
        <v>0</v>
      </c>
      <c r="E762" s="144">
        <v>0</v>
      </c>
      <c r="F762" s="144">
        <v>0</v>
      </c>
      <c r="G762" s="291">
        <v>0</v>
      </c>
      <c r="H762" s="150">
        <v>0</v>
      </c>
      <c r="I762" s="567">
        <f t="shared" si="20"/>
        <v>0</v>
      </c>
    </row>
    <row r="763" spans="1:9" x14ac:dyDescent="0.15">
      <c r="A763" s="138"/>
      <c r="B763" s="521" t="s">
        <v>844</v>
      </c>
      <c r="C763" s="138" t="s">
        <v>153</v>
      </c>
      <c r="D763" s="144">
        <v>0</v>
      </c>
      <c r="E763" s="144">
        <v>0</v>
      </c>
      <c r="F763" s="144">
        <v>0</v>
      </c>
      <c r="G763" s="291">
        <v>0</v>
      </c>
      <c r="H763" s="150">
        <v>0</v>
      </c>
      <c r="I763" s="567">
        <f t="shared" si="20"/>
        <v>0</v>
      </c>
    </row>
    <row r="764" spans="1:9" x14ac:dyDescent="0.15">
      <c r="A764" s="138"/>
      <c r="B764" s="521" t="s">
        <v>845</v>
      </c>
      <c r="C764" s="138" t="s">
        <v>154</v>
      </c>
      <c r="D764" s="144">
        <v>0</v>
      </c>
      <c r="E764" s="144">
        <v>0</v>
      </c>
      <c r="F764" s="144">
        <v>0</v>
      </c>
      <c r="G764" s="291">
        <v>0</v>
      </c>
      <c r="H764" s="150">
        <v>0</v>
      </c>
      <c r="I764" s="567">
        <f t="shared" si="20"/>
        <v>0</v>
      </c>
    </row>
    <row r="765" spans="1:9" x14ac:dyDescent="0.15">
      <c r="A765" s="138"/>
      <c r="B765" s="521" t="s">
        <v>846</v>
      </c>
      <c r="C765" s="138" t="s">
        <v>155</v>
      </c>
      <c r="D765" s="144">
        <v>0</v>
      </c>
      <c r="E765" s="144">
        <v>0</v>
      </c>
      <c r="F765" s="144">
        <v>0</v>
      </c>
      <c r="G765" s="291">
        <v>0</v>
      </c>
      <c r="H765" s="150">
        <v>0</v>
      </c>
      <c r="I765" s="567">
        <f t="shared" si="20"/>
        <v>0</v>
      </c>
    </row>
    <row r="766" spans="1:9" x14ac:dyDescent="0.15">
      <c r="A766" s="138"/>
      <c r="B766" s="521" t="s">
        <v>1582</v>
      </c>
      <c r="C766" s="138" t="s">
        <v>156</v>
      </c>
      <c r="D766" s="144">
        <v>0</v>
      </c>
      <c r="E766" s="144">
        <v>0</v>
      </c>
      <c r="F766" s="144">
        <v>0</v>
      </c>
      <c r="G766" s="291">
        <v>0</v>
      </c>
      <c r="H766" s="150">
        <v>0</v>
      </c>
      <c r="I766" s="567">
        <f t="shared" si="20"/>
        <v>0</v>
      </c>
    </row>
    <row r="767" spans="1:9" x14ac:dyDescent="0.15">
      <c r="A767" s="138"/>
      <c r="B767" s="521" t="s">
        <v>847</v>
      </c>
      <c r="C767" s="138" t="s">
        <v>157</v>
      </c>
      <c r="D767" s="144">
        <v>0</v>
      </c>
      <c r="E767" s="144">
        <v>0</v>
      </c>
      <c r="F767" s="144">
        <v>0</v>
      </c>
      <c r="G767" s="291">
        <v>0</v>
      </c>
      <c r="H767" s="150">
        <v>0</v>
      </c>
      <c r="I767" s="567">
        <f t="shared" si="20"/>
        <v>0</v>
      </c>
    </row>
    <row r="768" spans="1:9" x14ac:dyDescent="0.15">
      <c r="A768" s="138"/>
      <c r="B768" s="521" t="s">
        <v>1583</v>
      </c>
      <c r="C768" s="138" t="s">
        <v>160</v>
      </c>
      <c r="D768" s="144">
        <v>0</v>
      </c>
      <c r="E768" s="144">
        <v>0</v>
      </c>
      <c r="F768" s="144">
        <v>0</v>
      </c>
      <c r="G768" s="291">
        <v>0</v>
      </c>
      <c r="H768" s="150">
        <v>0</v>
      </c>
      <c r="I768" s="567">
        <f t="shared" si="20"/>
        <v>0</v>
      </c>
    </row>
    <row r="769" spans="1:10" x14ac:dyDescent="0.15">
      <c r="A769" s="138"/>
      <c r="B769" s="521" t="s">
        <v>634</v>
      </c>
      <c r="C769" s="138" t="s">
        <v>165</v>
      </c>
      <c r="D769" s="144">
        <v>0</v>
      </c>
      <c r="E769" s="144">
        <v>0</v>
      </c>
      <c r="F769" s="144">
        <v>0</v>
      </c>
      <c r="G769" s="291">
        <v>0</v>
      </c>
      <c r="H769" s="150">
        <v>0</v>
      </c>
      <c r="I769" s="567">
        <f t="shared" si="20"/>
        <v>0</v>
      </c>
    </row>
    <row r="770" spans="1:10" x14ac:dyDescent="0.15">
      <c r="A770" s="138"/>
      <c r="B770" s="521" t="s">
        <v>630</v>
      </c>
      <c r="C770" s="138" t="s">
        <v>172</v>
      </c>
      <c r="D770" s="144">
        <v>0</v>
      </c>
      <c r="E770" s="144">
        <v>0</v>
      </c>
      <c r="F770" s="144">
        <v>0</v>
      </c>
      <c r="G770" s="291">
        <v>0</v>
      </c>
      <c r="H770" s="150">
        <v>0</v>
      </c>
      <c r="I770" s="567">
        <f t="shared" si="20"/>
        <v>0</v>
      </c>
    </row>
    <row r="771" spans="1:10" x14ac:dyDescent="0.15">
      <c r="A771" s="138"/>
      <c r="B771" s="650" t="s">
        <v>631</v>
      </c>
      <c r="C771" s="651" t="s">
        <v>173</v>
      </c>
      <c r="D771" s="144">
        <v>0</v>
      </c>
      <c r="E771" s="144">
        <v>0</v>
      </c>
      <c r="F771" s="144">
        <v>0</v>
      </c>
      <c r="G771" s="291">
        <v>0</v>
      </c>
      <c r="H771" s="150">
        <v>0</v>
      </c>
      <c r="I771" s="567">
        <f t="shared" si="20"/>
        <v>0</v>
      </c>
    </row>
    <row r="772" spans="1:10" x14ac:dyDescent="0.15">
      <c r="A772" s="138"/>
      <c r="B772" s="521" t="s">
        <v>1584</v>
      </c>
      <c r="C772" s="138" t="s">
        <v>178</v>
      </c>
      <c r="D772" s="144">
        <v>0</v>
      </c>
      <c r="E772" s="144">
        <v>0</v>
      </c>
      <c r="F772" s="144">
        <v>0</v>
      </c>
      <c r="G772" s="291">
        <v>0</v>
      </c>
      <c r="H772" s="150">
        <v>0</v>
      </c>
      <c r="I772" s="567">
        <f t="shared" si="20"/>
        <v>0</v>
      </c>
    </row>
    <row r="773" spans="1:10" x14ac:dyDescent="0.15">
      <c r="A773" s="138"/>
      <c r="B773" s="521" t="s">
        <v>174</v>
      </c>
      <c r="C773" s="138" t="s">
        <v>179</v>
      </c>
      <c r="D773" s="144">
        <v>0</v>
      </c>
      <c r="E773" s="144">
        <v>0</v>
      </c>
      <c r="F773" s="144">
        <v>0</v>
      </c>
      <c r="G773" s="291">
        <v>0</v>
      </c>
      <c r="H773" s="150">
        <v>0</v>
      </c>
      <c r="I773" s="567">
        <f t="shared" si="20"/>
        <v>0</v>
      </c>
    </row>
    <row r="774" spans="1:10" x14ac:dyDescent="0.15">
      <c r="A774" s="138"/>
      <c r="B774" s="521" t="s">
        <v>175</v>
      </c>
      <c r="C774" s="138" t="s">
        <v>180</v>
      </c>
      <c r="D774" s="144">
        <v>0</v>
      </c>
      <c r="E774" s="144">
        <v>0</v>
      </c>
      <c r="F774" s="144">
        <v>0</v>
      </c>
      <c r="G774" s="291">
        <v>0</v>
      </c>
      <c r="H774" s="150">
        <v>0</v>
      </c>
      <c r="I774" s="567">
        <f t="shared" si="20"/>
        <v>0</v>
      </c>
    </row>
    <row r="775" spans="1:10" ht="11.25" thickBot="1" x14ac:dyDescent="0.2">
      <c r="A775" s="138"/>
      <c r="B775" s="521" t="s">
        <v>176</v>
      </c>
      <c r="C775" s="138" t="s">
        <v>181</v>
      </c>
      <c r="D775" s="144">
        <v>0</v>
      </c>
      <c r="E775" s="144">
        <v>0</v>
      </c>
      <c r="F775" s="144">
        <v>0</v>
      </c>
      <c r="G775" s="291">
        <v>0</v>
      </c>
      <c r="H775" s="150">
        <v>0</v>
      </c>
      <c r="I775" s="567">
        <f t="shared" si="20"/>
        <v>0</v>
      </c>
    </row>
    <row r="776" spans="1:10" ht="12" thickTop="1" thickBot="1" x14ac:dyDescent="0.2">
      <c r="A776" s="138"/>
      <c r="B776" s="521"/>
      <c r="C776" s="138" t="s">
        <v>375</v>
      </c>
      <c r="D776" s="169">
        <f>SUM(D742:D775)</f>
        <v>0</v>
      </c>
      <c r="E776" s="169">
        <f>SUM(E742:E775)</f>
        <v>0</v>
      </c>
      <c r="F776" s="169">
        <f>SUM(F742:F775)</f>
        <v>0</v>
      </c>
      <c r="G776" s="169">
        <f>SUM(G742:G775)</f>
        <v>0</v>
      </c>
      <c r="H776" s="169">
        <f>SUM(H742:H775)</f>
        <v>0</v>
      </c>
      <c r="I776" s="169">
        <f>SUM(G776+H776)</f>
        <v>0</v>
      </c>
    </row>
    <row r="777" spans="1:10" ht="11.25" thickTop="1" x14ac:dyDescent="0.15">
      <c r="A777" s="138"/>
      <c r="B777" s="138"/>
      <c r="C777" s="138"/>
      <c r="D777" s="14"/>
      <c r="E777" s="14"/>
      <c r="F777" s="14"/>
      <c r="G777" s="14"/>
      <c r="H777" s="14"/>
      <c r="I777" s="563"/>
    </row>
    <row r="778" spans="1:10" x14ac:dyDescent="0.15">
      <c r="A778" s="522" t="s">
        <v>376</v>
      </c>
      <c r="B778" s="138"/>
      <c r="C778" s="138"/>
      <c r="D778" s="14"/>
      <c r="E778" s="14"/>
      <c r="F778" s="14"/>
      <c r="G778" s="14"/>
      <c r="H778" s="14"/>
      <c r="I778" s="563"/>
    </row>
    <row r="779" spans="1:10" s="434" customFormat="1" x14ac:dyDescent="0.15">
      <c r="B779" s="523" t="s">
        <v>1577</v>
      </c>
      <c r="C779" s="524" t="s">
        <v>228</v>
      </c>
      <c r="D779" s="316">
        <v>0</v>
      </c>
      <c r="E779" s="316">
        <v>0</v>
      </c>
      <c r="F779" s="316">
        <v>0</v>
      </c>
      <c r="G779" s="528">
        <f t="array" ref="G779">SUM(IF(CertFund&amp;CertProg&amp;CertObj=RIGHT(LEFT($A$2,7),2)&amp;LEFT(A778,4)&amp;B779,CertSalary))</f>
        <v>0</v>
      </c>
      <c r="H779" s="527">
        <v>0</v>
      </c>
      <c r="I779" s="566">
        <f t="shared" ref="I779:I813" si="21">SUM(G779+H779)</f>
        <v>0</v>
      </c>
    </row>
    <row r="780" spans="1:10" s="434" customFormat="1" x14ac:dyDescent="0.15">
      <c r="B780" s="523" t="s">
        <v>1577</v>
      </c>
      <c r="C780" s="524" t="s">
        <v>510</v>
      </c>
      <c r="D780" s="316">
        <v>0</v>
      </c>
      <c r="E780" s="316">
        <v>0</v>
      </c>
      <c r="F780" s="316">
        <v>0</v>
      </c>
      <c r="G780" s="316">
        <v>0</v>
      </c>
      <c r="H780" s="527">
        <v>0</v>
      </c>
      <c r="I780" s="566">
        <f t="shared" si="21"/>
        <v>0</v>
      </c>
    </row>
    <row r="781" spans="1:10" s="434" customFormat="1" x14ac:dyDescent="0.15">
      <c r="A781" s="524"/>
      <c r="B781" s="523" t="s">
        <v>1578</v>
      </c>
      <c r="C781" s="524" t="s">
        <v>936</v>
      </c>
      <c r="D781" s="316">
        <v>0</v>
      </c>
      <c r="E781" s="316">
        <v>0</v>
      </c>
      <c r="F781" s="316">
        <v>0</v>
      </c>
      <c r="G781" s="529">
        <f t="array" ref="G781">SUM(IF(CertFund&amp;CertProg&amp;CertObj=RIGHT(LEFT($A$2,7),2)&amp;LEFT(A778,4)&amp;B779,CertBen))</f>
        <v>0</v>
      </c>
      <c r="H781" s="527">
        <v>0</v>
      </c>
      <c r="I781" s="566">
        <f t="shared" si="21"/>
        <v>0</v>
      </c>
    </row>
    <row r="782" spans="1:10" x14ac:dyDescent="0.15">
      <c r="A782" s="138"/>
      <c r="B782" s="521" t="s">
        <v>1578</v>
      </c>
      <c r="C782" s="138" t="s">
        <v>511</v>
      </c>
      <c r="D782" s="147">
        <v>0</v>
      </c>
      <c r="E782" s="147">
        <v>0</v>
      </c>
      <c r="F782" s="147">
        <v>0</v>
      </c>
      <c r="G782" s="147">
        <v>0</v>
      </c>
      <c r="H782" s="150">
        <v>0</v>
      </c>
      <c r="I782" s="567">
        <f t="shared" si="21"/>
        <v>0</v>
      </c>
      <c r="J782" s="434"/>
    </row>
    <row r="783" spans="1:10" x14ac:dyDescent="0.15">
      <c r="A783" s="138"/>
      <c r="B783" s="521" t="s">
        <v>1579</v>
      </c>
      <c r="C783" s="138" t="s">
        <v>118</v>
      </c>
      <c r="D783" s="144">
        <v>0</v>
      </c>
      <c r="E783" s="144">
        <v>0</v>
      </c>
      <c r="F783" s="144">
        <v>0</v>
      </c>
      <c r="G783" s="291">
        <v>0</v>
      </c>
      <c r="H783" s="150">
        <v>0</v>
      </c>
      <c r="I783" s="567">
        <f t="shared" si="21"/>
        <v>0</v>
      </c>
    </row>
    <row r="784" spans="1:10" x14ac:dyDescent="0.15">
      <c r="A784" s="138"/>
      <c r="B784" s="521" t="s">
        <v>1580</v>
      </c>
      <c r="C784" s="138" t="s">
        <v>119</v>
      </c>
      <c r="D784" s="144">
        <v>0</v>
      </c>
      <c r="E784" s="144">
        <v>0</v>
      </c>
      <c r="F784" s="144">
        <v>0</v>
      </c>
      <c r="G784" s="291">
        <v>0</v>
      </c>
      <c r="H784" s="150">
        <v>0</v>
      </c>
      <c r="I784" s="567">
        <f t="shared" si="21"/>
        <v>0</v>
      </c>
    </row>
    <row r="785" spans="1:9" x14ac:dyDescent="0.15">
      <c r="A785" s="138"/>
      <c r="B785" s="521" t="s">
        <v>120</v>
      </c>
      <c r="C785" s="138" t="s">
        <v>121</v>
      </c>
      <c r="D785" s="144">
        <v>0</v>
      </c>
      <c r="E785" s="144">
        <v>0</v>
      </c>
      <c r="F785" s="144">
        <v>0</v>
      </c>
      <c r="G785" s="291">
        <v>0</v>
      </c>
      <c r="H785" s="150">
        <v>0</v>
      </c>
      <c r="I785" s="567">
        <f t="shared" si="21"/>
        <v>0</v>
      </c>
    </row>
    <row r="786" spans="1:9" x14ac:dyDescent="0.15">
      <c r="A786" s="138"/>
      <c r="B786" s="521" t="s">
        <v>122</v>
      </c>
      <c r="C786" s="138" t="s">
        <v>123</v>
      </c>
      <c r="D786" s="144">
        <v>0</v>
      </c>
      <c r="E786" s="144">
        <v>0</v>
      </c>
      <c r="F786" s="144">
        <v>0</v>
      </c>
      <c r="G786" s="291">
        <v>0</v>
      </c>
      <c r="H786" s="150">
        <v>0</v>
      </c>
      <c r="I786" s="567">
        <f t="shared" si="21"/>
        <v>0</v>
      </c>
    </row>
    <row r="787" spans="1:9" x14ac:dyDescent="0.15">
      <c r="A787" s="138"/>
      <c r="B787" s="521" t="s">
        <v>1581</v>
      </c>
      <c r="C787" s="138" t="s">
        <v>124</v>
      </c>
      <c r="D787" s="144">
        <v>0</v>
      </c>
      <c r="E787" s="144">
        <v>0</v>
      </c>
      <c r="F787" s="144">
        <v>0</v>
      </c>
      <c r="G787" s="291">
        <v>0</v>
      </c>
      <c r="H787" s="150">
        <v>0</v>
      </c>
      <c r="I787" s="567">
        <f t="shared" si="21"/>
        <v>0</v>
      </c>
    </row>
    <row r="788" spans="1:9" x14ac:dyDescent="0.15">
      <c r="A788" s="138"/>
      <c r="B788" s="521" t="s">
        <v>127</v>
      </c>
      <c r="C788" s="138" t="s">
        <v>134</v>
      </c>
      <c r="D788" s="144">
        <v>0</v>
      </c>
      <c r="E788" s="144">
        <v>0</v>
      </c>
      <c r="F788" s="144">
        <v>0</v>
      </c>
      <c r="G788" s="291">
        <v>0</v>
      </c>
      <c r="H788" s="150">
        <v>0</v>
      </c>
      <c r="I788" s="567">
        <f t="shared" si="21"/>
        <v>0</v>
      </c>
    </row>
    <row r="789" spans="1:9" x14ac:dyDescent="0.15">
      <c r="A789" s="138"/>
      <c r="B789" s="521" t="s">
        <v>128</v>
      </c>
      <c r="C789" s="138" t="s">
        <v>135</v>
      </c>
      <c r="D789" s="144">
        <v>0</v>
      </c>
      <c r="E789" s="144">
        <v>0</v>
      </c>
      <c r="F789" s="144">
        <v>0</v>
      </c>
      <c r="G789" s="291">
        <v>0</v>
      </c>
      <c r="H789" s="150">
        <v>0</v>
      </c>
      <c r="I789" s="567">
        <f t="shared" si="21"/>
        <v>0</v>
      </c>
    </row>
    <row r="790" spans="1:9" x14ac:dyDescent="0.15">
      <c r="A790" s="138"/>
      <c r="B790" s="521" t="s">
        <v>132</v>
      </c>
      <c r="C790" s="138" t="s">
        <v>1617</v>
      </c>
      <c r="D790" s="144">
        <v>0</v>
      </c>
      <c r="E790" s="144">
        <v>0</v>
      </c>
      <c r="F790" s="144">
        <v>0</v>
      </c>
      <c r="G790" s="291">
        <v>0</v>
      </c>
      <c r="H790" s="150">
        <v>0</v>
      </c>
      <c r="I790" s="567">
        <f t="shared" si="21"/>
        <v>0</v>
      </c>
    </row>
    <row r="791" spans="1:9" x14ac:dyDescent="0.15">
      <c r="A791" s="138"/>
      <c r="B791" s="521" t="s">
        <v>1618</v>
      </c>
      <c r="C791" s="138" t="s">
        <v>836</v>
      </c>
      <c r="D791" s="144">
        <v>0</v>
      </c>
      <c r="E791" s="144">
        <v>0</v>
      </c>
      <c r="F791" s="144">
        <v>0</v>
      </c>
      <c r="G791" s="291">
        <v>0</v>
      </c>
      <c r="H791" s="150">
        <v>0</v>
      </c>
      <c r="I791" s="567">
        <f t="shared" si="21"/>
        <v>0</v>
      </c>
    </row>
    <row r="792" spans="1:9" x14ac:dyDescent="0.15">
      <c r="A792" s="138"/>
      <c r="B792" s="521" t="s">
        <v>1619</v>
      </c>
      <c r="C792" s="138" t="s">
        <v>837</v>
      </c>
      <c r="D792" s="144">
        <v>0</v>
      </c>
      <c r="E792" s="144">
        <v>0</v>
      </c>
      <c r="F792" s="144">
        <v>0</v>
      </c>
      <c r="G792" s="291">
        <v>0</v>
      </c>
      <c r="H792" s="150">
        <v>0</v>
      </c>
      <c r="I792" s="567">
        <f t="shared" si="21"/>
        <v>0</v>
      </c>
    </row>
    <row r="793" spans="1:9" x14ac:dyDescent="0.15">
      <c r="A793" s="138"/>
      <c r="B793" s="521" t="s">
        <v>1620</v>
      </c>
      <c r="C793" s="138" t="s">
        <v>838</v>
      </c>
      <c r="D793" s="144">
        <v>0</v>
      </c>
      <c r="E793" s="144">
        <v>0</v>
      </c>
      <c r="F793" s="144">
        <v>0</v>
      </c>
      <c r="G793" s="291">
        <v>0</v>
      </c>
      <c r="H793" s="150">
        <v>0</v>
      </c>
      <c r="I793" s="567">
        <f t="shared" si="21"/>
        <v>0</v>
      </c>
    </row>
    <row r="794" spans="1:9" x14ac:dyDescent="0.15">
      <c r="A794" s="138"/>
      <c r="B794" s="521" t="s">
        <v>1621</v>
      </c>
      <c r="C794" s="138" t="s">
        <v>839</v>
      </c>
      <c r="D794" s="144">
        <v>0</v>
      </c>
      <c r="E794" s="144">
        <v>0</v>
      </c>
      <c r="F794" s="144">
        <v>0</v>
      </c>
      <c r="G794" s="291">
        <v>0</v>
      </c>
      <c r="H794" s="150">
        <v>0</v>
      </c>
      <c r="I794" s="567">
        <f t="shared" si="21"/>
        <v>0</v>
      </c>
    </row>
    <row r="795" spans="1:9" x14ac:dyDescent="0.15">
      <c r="A795" s="138"/>
      <c r="B795" s="521" t="s">
        <v>1622</v>
      </c>
      <c r="C795" s="138" t="s">
        <v>190</v>
      </c>
      <c r="D795" s="144">
        <v>0</v>
      </c>
      <c r="E795" s="144">
        <v>0</v>
      </c>
      <c r="F795" s="144">
        <v>0</v>
      </c>
      <c r="G795" s="291">
        <v>0</v>
      </c>
      <c r="H795" s="150">
        <v>0</v>
      </c>
      <c r="I795" s="567">
        <f t="shared" si="21"/>
        <v>0</v>
      </c>
    </row>
    <row r="796" spans="1:9" x14ac:dyDescent="0.15">
      <c r="A796" s="138"/>
      <c r="B796" s="521" t="s">
        <v>1623</v>
      </c>
      <c r="C796" s="138" t="s">
        <v>191</v>
      </c>
      <c r="D796" s="144">
        <v>0</v>
      </c>
      <c r="E796" s="144">
        <v>0</v>
      </c>
      <c r="F796" s="144">
        <v>0</v>
      </c>
      <c r="G796" s="291">
        <v>0</v>
      </c>
      <c r="H796" s="150">
        <v>0</v>
      </c>
      <c r="I796" s="567">
        <f t="shared" si="21"/>
        <v>0</v>
      </c>
    </row>
    <row r="797" spans="1:9" x14ac:dyDescent="0.15">
      <c r="A797" s="138"/>
      <c r="B797" s="521" t="s">
        <v>1624</v>
      </c>
      <c r="C797" s="138" t="s">
        <v>840</v>
      </c>
      <c r="D797" s="144">
        <v>0</v>
      </c>
      <c r="E797" s="144">
        <v>0</v>
      </c>
      <c r="F797" s="144">
        <v>0</v>
      </c>
      <c r="G797" s="291">
        <v>0</v>
      </c>
      <c r="H797" s="150">
        <v>0</v>
      </c>
      <c r="I797" s="567">
        <f t="shared" si="21"/>
        <v>0</v>
      </c>
    </row>
    <row r="798" spans="1:9" x14ac:dyDescent="0.15">
      <c r="A798" s="138"/>
      <c r="B798" s="521" t="s">
        <v>1625</v>
      </c>
      <c r="C798" s="138" t="s">
        <v>842</v>
      </c>
      <c r="D798" s="144">
        <v>0</v>
      </c>
      <c r="E798" s="144">
        <v>0</v>
      </c>
      <c r="F798" s="144">
        <v>0</v>
      </c>
      <c r="G798" s="291">
        <v>0</v>
      </c>
      <c r="H798" s="150">
        <v>0</v>
      </c>
      <c r="I798" s="567">
        <f t="shared" si="21"/>
        <v>0</v>
      </c>
    </row>
    <row r="799" spans="1:9" x14ac:dyDescent="0.15">
      <c r="A799" s="138"/>
      <c r="B799" s="521" t="s">
        <v>843</v>
      </c>
      <c r="C799" s="138" t="s">
        <v>848</v>
      </c>
      <c r="D799" s="144">
        <v>0</v>
      </c>
      <c r="E799" s="144">
        <v>0</v>
      </c>
      <c r="F799" s="144">
        <v>0</v>
      </c>
      <c r="G799" s="291">
        <v>0</v>
      </c>
      <c r="H799" s="150">
        <v>0</v>
      </c>
      <c r="I799" s="567">
        <f t="shared" si="21"/>
        <v>0</v>
      </c>
    </row>
    <row r="800" spans="1:9" x14ac:dyDescent="0.15">
      <c r="A800" s="138"/>
      <c r="B800" s="521" t="s">
        <v>844</v>
      </c>
      <c r="C800" s="138" t="s">
        <v>153</v>
      </c>
      <c r="D800" s="144">
        <v>0</v>
      </c>
      <c r="E800" s="144">
        <v>0</v>
      </c>
      <c r="F800" s="144">
        <v>0</v>
      </c>
      <c r="G800" s="291">
        <v>0</v>
      </c>
      <c r="H800" s="150">
        <v>0</v>
      </c>
      <c r="I800" s="567">
        <f t="shared" si="21"/>
        <v>0</v>
      </c>
    </row>
    <row r="801" spans="1:9" x14ac:dyDescent="0.15">
      <c r="A801" s="138"/>
      <c r="B801" s="521" t="s">
        <v>845</v>
      </c>
      <c r="C801" s="138" t="s">
        <v>154</v>
      </c>
      <c r="D801" s="144">
        <v>0</v>
      </c>
      <c r="E801" s="144">
        <v>0</v>
      </c>
      <c r="F801" s="144">
        <v>0</v>
      </c>
      <c r="G801" s="291">
        <v>0</v>
      </c>
      <c r="H801" s="150">
        <v>0</v>
      </c>
      <c r="I801" s="567">
        <f t="shared" si="21"/>
        <v>0</v>
      </c>
    </row>
    <row r="802" spans="1:9" x14ac:dyDescent="0.15">
      <c r="A802" s="138"/>
      <c r="B802" s="521" t="s">
        <v>846</v>
      </c>
      <c r="C802" s="138" t="s">
        <v>155</v>
      </c>
      <c r="D802" s="144">
        <v>0</v>
      </c>
      <c r="E802" s="144">
        <v>0</v>
      </c>
      <c r="F802" s="144">
        <v>0</v>
      </c>
      <c r="G802" s="291">
        <v>0</v>
      </c>
      <c r="H802" s="150">
        <v>0</v>
      </c>
      <c r="I802" s="567">
        <f t="shared" si="21"/>
        <v>0</v>
      </c>
    </row>
    <row r="803" spans="1:9" x14ac:dyDescent="0.15">
      <c r="A803" s="138"/>
      <c r="B803" s="521" t="s">
        <v>1582</v>
      </c>
      <c r="C803" s="138" t="s">
        <v>156</v>
      </c>
      <c r="D803" s="144">
        <v>0</v>
      </c>
      <c r="E803" s="144">
        <v>0</v>
      </c>
      <c r="F803" s="144">
        <v>0</v>
      </c>
      <c r="G803" s="291">
        <v>0</v>
      </c>
      <c r="H803" s="150">
        <v>0</v>
      </c>
      <c r="I803" s="567">
        <f t="shared" si="21"/>
        <v>0</v>
      </c>
    </row>
    <row r="804" spans="1:9" x14ac:dyDescent="0.15">
      <c r="A804" s="138"/>
      <c r="B804" s="521" t="s">
        <v>847</v>
      </c>
      <c r="C804" s="138" t="s">
        <v>157</v>
      </c>
      <c r="D804" s="144">
        <v>0</v>
      </c>
      <c r="E804" s="144">
        <v>0</v>
      </c>
      <c r="F804" s="144">
        <v>0</v>
      </c>
      <c r="G804" s="291">
        <v>0</v>
      </c>
      <c r="H804" s="150">
        <v>0</v>
      </c>
      <c r="I804" s="567">
        <f t="shared" si="21"/>
        <v>0</v>
      </c>
    </row>
    <row r="805" spans="1:9" x14ac:dyDescent="0.15">
      <c r="A805" s="138"/>
      <c r="B805" s="521" t="s">
        <v>1583</v>
      </c>
      <c r="C805" s="138" t="s">
        <v>160</v>
      </c>
      <c r="D805" s="144">
        <v>0</v>
      </c>
      <c r="E805" s="144">
        <v>0</v>
      </c>
      <c r="F805" s="144">
        <v>0</v>
      </c>
      <c r="G805" s="291">
        <v>0</v>
      </c>
      <c r="H805" s="150">
        <v>0</v>
      </c>
      <c r="I805" s="567">
        <f t="shared" si="21"/>
        <v>0</v>
      </c>
    </row>
    <row r="806" spans="1:9" x14ac:dyDescent="0.15">
      <c r="A806" s="138"/>
      <c r="B806" s="521" t="s">
        <v>634</v>
      </c>
      <c r="C806" s="138" t="s">
        <v>165</v>
      </c>
      <c r="D806" s="144">
        <v>0</v>
      </c>
      <c r="E806" s="144">
        <v>0</v>
      </c>
      <c r="F806" s="144">
        <v>0</v>
      </c>
      <c r="G806" s="291">
        <v>0</v>
      </c>
      <c r="H806" s="150">
        <v>0</v>
      </c>
      <c r="I806" s="567">
        <f t="shared" si="21"/>
        <v>0</v>
      </c>
    </row>
    <row r="807" spans="1:9" x14ac:dyDescent="0.15">
      <c r="A807" s="138"/>
      <c r="B807" s="521" t="s">
        <v>630</v>
      </c>
      <c r="C807" s="138" t="s">
        <v>172</v>
      </c>
      <c r="D807" s="144">
        <v>0</v>
      </c>
      <c r="E807" s="144">
        <v>0</v>
      </c>
      <c r="F807" s="144">
        <v>0</v>
      </c>
      <c r="G807" s="291">
        <v>0</v>
      </c>
      <c r="H807" s="150">
        <v>0</v>
      </c>
      <c r="I807" s="567">
        <f t="shared" si="21"/>
        <v>0</v>
      </c>
    </row>
    <row r="808" spans="1:9" x14ac:dyDescent="0.15">
      <c r="A808" s="138"/>
      <c r="B808" s="650" t="s">
        <v>631</v>
      </c>
      <c r="C808" s="651" t="s">
        <v>173</v>
      </c>
      <c r="D808" s="144">
        <v>0</v>
      </c>
      <c r="E808" s="144">
        <v>0</v>
      </c>
      <c r="F808" s="144">
        <v>0</v>
      </c>
      <c r="G808" s="291">
        <v>0</v>
      </c>
      <c r="H808" s="150">
        <v>0</v>
      </c>
      <c r="I808" s="567">
        <f t="shared" si="21"/>
        <v>0</v>
      </c>
    </row>
    <row r="809" spans="1:9" x14ac:dyDescent="0.15">
      <c r="A809" s="138"/>
      <c r="B809" s="521" t="s">
        <v>1584</v>
      </c>
      <c r="C809" s="138" t="s">
        <v>178</v>
      </c>
      <c r="D809" s="144">
        <v>0</v>
      </c>
      <c r="E809" s="144">
        <v>0</v>
      </c>
      <c r="F809" s="144">
        <v>0</v>
      </c>
      <c r="G809" s="291">
        <v>0</v>
      </c>
      <c r="H809" s="150">
        <v>0</v>
      </c>
      <c r="I809" s="567">
        <f t="shared" si="21"/>
        <v>0</v>
      </c>
    </row>
    <row r="810" spans="1:9" x14ac:dyDescent="0.15">
      <c r="A810" s="138"/>
      <c r="B810" s="521" t="s">
        <v>174</v>
      </c>
      <c r="C810" s="138" t="s">
        <v>179</v>
      </c>
      <c r="D810" s="144">
        <v>0</v>
      </c>
      <c r="E810" s="144">
        <v>0</v>
      </c>
      <c r="F810" s="144">
        <v>0</v>
      </c>
      <c r="G810" s="291">
        <v>0</v>
      </c>
      <c r="H810" s="150">
        <v>0</v>
      </c>
      <c r="I810" s="567">
        <f t="shared" si="21"/>
        <v>0</v>
      </c>
    </row>
    <row r="811" spans="1:9" x14ac:dyDescent="0.15">
      <c r="A811" s="138"/>
      <c r="B811" s="521" t="s">
        <v>175</v>
      </c>
      <c r="C811" s="138" t="s">
        <v>180</v>
      </c>
      <c r="D811" s="144">
        <v>0</v>
      </c>
      <c r="E811" s="144">
        <v>0</v>
      </c>
      <c r="F811" s="144">
        <v>0</v>
      </c>
      <c r="G811" s="291">
        <v>0</v>
      </c>
      <c r="H811" s="150">
        <v>0</v>
      </c>
      <c r="I811" s="567">
        <f t="shared" si="21"/>
        <v>0</v>
      </c>
    </row>
    <row r="812" spans="1:9" ht="11.25" thickBot="1" x14ac:dyDescent="0.2">
      <c r="A812" s="138"/>
      <c r="B812" s="521" t="s">
        <v>176</v>
      </c>
      <c r="C812" s="138" t="s">
        <v>181</v>
      </c>
      <c r="D812" s="144">
        <v>0</v>
      </c>
      <c r="E812" s="144">
        <v>0</v>
      </c>
      <c r="F812" s="144">
        <v>0</v>
      </c>
      <c r="G812" s="291">
        <v>0</v>
      </c>
      <c r="H812" s="150">
        <v>0</v>
      </c>
      <c r="I812" s="567">
        <f t="shared" si="21"/>
        <v>0</v>
      </c>
    </row>
    <row r="813" spans="1:9" ht="12" thickTop="1" thickBot="1" x14ac:dyDescent="0.2">
      <c r="A813" s="138"/>
      <c r="B813" s="521"/>
      <c r="C813" s="138" t="s">
        <v>377</v>
      </c>
      <c r="D813" s="169">
        <f>SUM(D779:D812)</f>
        <v>0</v>
      </c>
      <c r="E813" s="169">
        <f>SUM(E779:E812)</f>
        <v>0</v>
      </c>
      <c r="F813" s="169">
        <f>SUM(F779:F812)</f>
        <v>0</v>
      </c>
      <c r="G813" s="169">
        <f>SUM(G779:G812)</f>
        <v>0</v>
      </c>
      <c r="H813" s="169">
        <f>SUM(H779:H812)</f>
        <v>0</v>
      </c>
      <c r="I813" s="169">
        <f t="shared" si="21"/>
        <v>0</v>
      </c>
    </row>
    <row r="814" spans="1:9" ht="11.25" thickTop="1" x14ac:dyDescent="0.15">
      <c r="A814" s="138"/>
      <c r="B814" s="138"/>
      <c r="C814" s="138"/>
      <c r="D814" s="14"/>
      <c r="E814" s="14"/>
      <c r="F814" s="14"/>
      <c r="G814" s="14"/>
      <c r="H814" s="14"/>
      <c r="I814" s="563"/>
    </row>
    <row r="815" spans="1:9" x14ac:dyDescent="0.15">
      <c r="A815" s="522" t="s">
        <v>379</v>
      </c>
      <c r="B815" s="138"/>
      <c r="C815" s="138"/>
      <c r="D815" s="14"/>
      <c r="E815" s="14"/>
      <c r="F815" s="14"/>
      <c r="G815" s="14"/>
      <c r="H815" s="14"/>
      <c r="I815" s="563"/>
    </row>
    <row r="816" spans="1:9" s="434" customFormat="1" x14ac:dyDescent="0.15">
      <c r="B816" s="523" t="s">
        <v>1577</v>
      </c>
      <c r="C816" s="524" t="s">
        <v>228</v>
      </c>
      <c r="D816" s="316">
        <v>0</v>
      </c>
      <c r="E816" s="316">
        <v>0</v>
      </c>
      <c r="F816" s="316">
        <v>0</v>
      </c>
      <c r="G816" s="528">
        <f t="array" ref="G816">SUM(IF(CertFund&amp;CertProg&amp;CertObj=RIGHT(LEFT($A$2,7),2)&amp;LEFT(A815,4)&amp;B816,CertSalary))</f>
        <v>0</v>
      </c>
      <c r="H816" s="527">
        <v>0</v>
      </c>
      <c r="I816" s="566">
        <f t="shared" ref="I816:I850" si="22">SUM(G816+H816)</f>
        <v>0</v>
      </c>
    </row>
    <row r="817" spans="1:10" s="434" customFormat="1" x14ac:dyDescent="0.15">
      <c r="B817" s="523" t="s">
        <v>1577</v>
      </c>
      <c r="C817" s="524" t="s">
        <v>510</v>
      </c>
      <c r="D817" s="316">
        <v>0</v>
      </c>
      <c r="E817" s="316">
        <v>0</v>
      </c>
      <c r="F817" s="316">
        <v>0</v>
      </c>
      <c r="G817" s="316">
        <v>0</v>
      </c>
      <c r="H817" s="527">
        <v>0</v>
      </c>
      <c r="I817" s="566">
        <f t="shared" si="22"/>
        <v>0</v>
      </c>
    </row>
    <row r="818" spans="1:10" s="434" customFormat="1" x14ac:dyDescent="0.15">
      <c r="A818" s="524"/>
      <c r="B818" s="523" t="s">
        <v>1578</v>
      </c>
      <c r="C818" s="524" t="s">
        <v>936</v>
      </c>
      <c r="D818" s="316">
        <v>0</v>
      </c>
      <c r="E818" s="316">
        <v>0</v>
      </c>
      <c r="F818" s="316">
        <v>0</v>
      </c>
      <c r="G818" s="529">
        <f t="array" ref="G818">SUM(IF(CertFund&amp;CertProg&amp;CertObj=RIGHT(LEFT($A$2,7),2)&amp;LEFT(A815,4)&amp;B816,CertBen))</f>
        <v>0</v>
      </c>
      <c r="H818" s="527">
        <v>0</v>
      </c>
      <c r="I818" s="566">
        <f t="shared" si="22"/>
        <v>0</v>
      </c>
    </row>
    <row r="819" spans="1:10" x14ac:dyDescent="0.15">
      <c r="A819" s="138"/>
      <c r="B819" s="521" t="s">
        <v>1578</v>
      </c>
      <c r="C819" s="138" t="s">
        <v>511</v>
      </c>
      <c r="D819" s="147">
        <v>0</v>
      </c>
      <c r="E819" s="147">
        <v>0</v>
      </c>
      <c r="F819" s="147">
        <v>0</v>
      </c>
      <c r="G819" s="147">
        <v>0</v>
      </c>
      <c r="H819" s="150">
        <v>0</v>
      </c>
      <c r="I819" s="567">
        <f t="shared" si="22"/>
        <v>0</v>
      </c>
      <c r="J819" s="434"/>
    </row>
    <row r="820" spans="1:10" x14ac:dyDescent="0.15">
      <c r="A820" s="138"/>
      <c r="B820" s="521" t="s">
        <v>1579</v>
      </c>
      <c r="C820" s="138" t="s">
        <v>118</v>
      </c>
      <c r="D820" s="144">
        <v>0</v>
      </c>
      <c r="E820" s="144">
        <v>0</v>
      </c>
      <c r="F820" s="144">
        <v>0</v>
      </c>
      <c r="G820" s="291">
        <v>0</v>
      </c>
      <c r="H820" s="150">
        <v>0</v>
      </c>
      <c r="I820" s="567">
        <f t="shared" si="22"/>
        <v>0</v>
      </c>
    </row>
    <row r="821" spans="1:10" x14ac:dyDescent="0.15">
      <c r="A821" s="138"/>
      <c r="B821" s="521" t="s">
        <v>1580</v>
      </c>
      <c r="C821" s="138" t="s">
        <v>119</v>
      </c>
      <c r="D821" s="144">
        <v>0</v>
      </c>
      <c r="E821" s="144">
        <v>0</v>
      </c>
      <c r="F821" s="144">
        <v>0</v>
      </c>
      <c r="G821" s="291">
        <v>0</v>
      </c>
      <c r="H821" s="150">
        <v>0</v>
      </c>
      <c r="I821" s="567">
        <f t="shared" si="22"/>
        <v>0</v>
      </c>
    </row>
    <row r="822" spans="1:10" x14ac:dyDescent="0.15">
      <c r="A822" s="138"/>
      <c r="B822" s="521" t="s">
        <v>120</v>
      </c>
      <c r="C822" s="138" t="s">
        <v>121</v>
      </c>
      <c r="D822" s="144">
        <v>0</v>
      </c>
      <c r="E822" s="144">
        <v>0</v>
      </c>
      <c r="F822" s="144">
        <v>0</v>
      </c>
      <c r="G822" s="291">
        <v>0</v>
      </c>
      <c r="H822" s="150">
        <v>0</v>
      </c>
      <c r="I822" s="567">
        <f t="shared" si="22"/>
        <v>0</v>
      </c>
    </row>
    <row r="823" spans="1:10" x14ac:dyDescent="0.15">
      <c r="A823" s="138"/>
      <c r="B823" s="521" t="s">
        <v>122</v>
      </c>
      <c r="C823" s="138" t="s">
        <v>123</v>
      </c>
      <c r="D823" s="144">
        <v>0</v>
      </c>
      <c r="E823" s="144">
        <v>0</v>
      </c>
      <c r="F823" s="144">
        <v>0</v>
      </c>
      <c r="G823" s="291">
        <v>0</v>
      </c>
      <c r="H823" s="150">
        <v>0</v>
      </c>
      <c r="I823" s="567">
        <f t="shared" si="22"/>
        <v>0</v>
      </c>
    </row>
    <row r="824" spans="1:10" x14ac:dyDescent="0.15">
      <c r="A824" s="138"/>
      <c r="B824" s="521" t="s">
        <v>1581</v>
      </c>
      <c r="C824" s="138" t="s">
        <v>124</v>
      </c>
      <c r="D824" s="144">
        <v>0</v>
      </c>
      <c r="E824" s="144">
        <v>0</v>
      </c>
      <c r="F824" s="144">
        <v>0</v>
      </c>
      <c r="G824" s="291">
        <v>0</v>
      </c>
      <c r="H824" s="150">
        <v>0</v>
      </c>
      <c r="I824" s="567">
        <f t="shared" si="22"/>
        <v>0</v>
      </c>
    </row>
    <row r="825" spans="1:10" x14ac:dyDescent="0.15">
      <c r="A825" s="138"/>
      <c r="B825" s="521" t="s">
        <v>127</v>
      </c>
      <c r="C825" s="138" t="s">
        <v>134</v>
      </c>
      <c r="D825" s="144">
        <v>0</v>
      </c>
      <c r="E825" s="144">
        <v>0</v>
      </c>
      <c r="F825" s="144">
        <v>0</v>
      </c>
      <c r="G825" s="291">
        <v>0</v>
      </c>
      <c r="H825" s="150">
        <v>0</v>
      </c>
      <c r="I825" s="567">
        <f t="shared" si="22"/>
        <v>0</v>
      </c>
    </row>
    <row r="826" spans="1:10" x14ac:dyDescent="0.15">
      <c r="A826" s="138"/>
      <c r="B826" s="521" t="s">
        <v>128</v>
      </c>
      <c r="C826" s="138" t="s">
        <v>135</v>
      </c>
      <c r="D826" s="144">
        <v>0</v>
      </c>
      <c r="E826" s="144">
        <v>0</v>
      </c>
      <c r="F826" s="144">
        <v>0</v>
      </c>
      <c r="G826" s="291">
        <v>0</v>
      </c>
      <c r="H826" s="150">
        <v>0</v>
      </c>
      <c r="I826" s="567">
        <f t="shared" si="22"/>
        <v>0</v>
      </c>
    </row>
    <row r="827" spans="1:10" x14ac:dyDescent="0.15">
      <c r="A827" s="138"/>
      <c r="B827" s="521" t="s">
        <v>132</v>
      </c>
      <c r="C827" s="138" t="s">
        <v>1617</v>
      </c>
      <c r="D827" s="144">
        <v>0</v>
      </c>
      <c r="E827" s="144">
        <v>0</v>
      </c>
      <c r="F827" s="144">
        <v>0</v>
      </c>
      <c r="G827" s="291">
        <v>0</v>
      </c>
      <c r="H827" s="150">
        <v>0</v>
      </c>
      <c r="I827" s="567">
        <f t="shared" si="22"/>
        <v>0</v>
      </c>
    </row>
    <row r="828" spans="1:10" x14ac:dyDescent="0.15">
      <c r="A828" s="138"/>
      <c r="B828" s="521" t="s">
        <v>1618</v>
      </c>
      <c r="C828" s="138" t="s">
        <v>836</v>
      </c>
      <c r="D828" s="144">
        <v>0</v>
      </c>
      <c r="E828" s="144">
        <v>0</v>
      </c>
      <c r="F828" s="144">
        <v>0</v>
      </c>
      <c r="G828" s="291">
        <v>0</v>
      </c>
      <c r="H828" s="150">
        <v>0</v>
      </c>
      <c r="I828" s="567">
        <f t="shared" si="22"/>
        <v>0</v>
      </c>
    </row>
    <row r="829" spans="1:10" x14ac:dyDescent="0.15">
      <c r="A829" s="138"/>
      <c r="B829" s="521" t="s">
        <v>1619</v>
      </c>
      <c r="C829" s="138" t="s">
        <v>837</v>
      </c>
      <c r="D829" s="144">
        <v>0</v>
      </c>
      <c r="E829" s="144">
        <v>0</v>
      </c>
      <c r="F829" s="144">
        <v>0</v>
      </c>
      <c r="G829" s="291">
        <v>0</v>
      </c>
      <c r="H829" s="150">
        <v>0</v>
      </c>
      <c r="I829" s="567">
        <f t="shared" si="22"/>
        <v>0</v>
      </c>
    </row>
    <row r="830" spans="1:10" x14ac:dyDescent="0.15">
      <c r="A830" s="138"/>
      <c r="B830" s="521" t="s">
        <v>1620</v>
      </c>
      <c r="C830" s="138" t="s">
        <v>838</v>
      </c>
      <c r="D830" s="144">
        <v>0</v>
      </c>
      <c r="E830" s="144">
        <v>0</v>
      </c>
      <c r="F830" s="144">
        <v>0</v>
      </c>
      <c r="G830" s="291">
        <v>0</v>
      </c>
      <c r="H830" s="150">
        <v>0</v>
      </c>
      <c r="I830" s="567">
        <f t="shared" si="22"/>
        <v>0</v>
      </c>
    </row>
    <row r="831" spans="1:10" x14ac:dyDescent="0.15">
      <c r="A831" s="138"/>
      <c r="B831" s="521" t="s">
        <v>1621</v>
      </c>
      <c r="C831" s="138" t="s">
        <v>839</v>
      </c>
      <c r="D831" s="144">
        <v>0</v>
      </c>
      <c r="E831" s="144">
        <v>0</v>
      </c>
      <c r="F831" s="144">
        <v>0</v>
      </c>
      <c r="G831" s="291">
        <v>0</v>
      </c>
      <c r="H831" s="150">
        <v>0</v>
      </c>
      <c r="I831" s="567">
        <f t="shared" si="22"/>
        <v>0</v>
      </c>
    </row>
    <row r="832" spans="1:10" x14ac:dyDescent="0.15">
      <c r="A832" s="138"/>
      <c r="B832" s="521" t="s">
        <v>1622</v>
      </c>
      <c r="C832" s="138" t="s">
        <v>190</v>
      </c>
      <c r="D832" s="144">
        <v>0</v>
      </c>
      <c r="E832" s="144">
        <v>0</v>
      </c>
      <c r="F832" s="144">
        <v>0</v>
      </c>
      <c r="G832" s="291">
        <v>0</v>
      </c>
      <c r="H832" s="150">
        <v>0</v>
      </c>
      <c r="I832" s="567">
        <f t="shared" si="22"/>
        <v>0</v>
      </c>
    </row>
    <row r="833" spans="1:9" x14ac:dyDescent="0.15">
      <c r="A833" s="138"/>
      <c r="B833" s="521" t="s">
        <v>1623</v>
      </c>
      <c r="C833" s="138" t="s">
        <v>191</v>
      </c>
      <c r="D833" s="144">
        <v>0</v>
      </c>
      <c r="E833" s="144">
        <v>0</v>
      </c>
      <c r="F833" s="144">
        <v>0</v>
      </c>
      <c r="G833" s="291">
        <v>0</v>
      </c>
      <c r="H833" s="150">
        <v>0</v>
      </c>
      <c r="I833" s="567">
        <f t="shared" si="22"/>
        <v>0</v>
      </c>
    </row>
    <row r="834" spans="1:9" x14ac:dyDescent="0.15">
      <c r="A834" s="138"/>
      <c r="B834" s="521" t="s">
        <v>1624</v>
      </c>
      <c r="C834" s="138" t="s">
        <v>840</v>
      </c>
      <c r="D834" s="144">
        <v>0</v>
      </c>
      <c r="E834" s="144">
        <v>0</v>
      </c>
      <c r="F834" s="144">
        <v>0</v>
      </c>
      <c r="G834" s="291">
        <v>0</v>
      </c>
      <c r="H834" s="150">
        <v>0</v>
      </c>
      <c r="I834" s="567">
        <f t="shared" si="22"/>
        <v>0</v>
      </c>
    </row>
    <row r="835" spans="1:9" x14ac:dyDescent="0.15">
      <c r="A835" s="138"/>
      <c r="B835" s="521" t="s">
        <v>1625</v>
      </c>
      <c r="C835" s="138" t="s">
        <v>842</v>
      </c>
      <c r="D835" s="144">
        <v>0</v>
      </c>
      <c r="E835" s="144">
        <v>0</v>
      </c>
      <c r="F835" s="144">
        <v>0</v>
      </c>
      <c r="G835" s="291">
        <v>0</v>
      </c>
      <c r="H835" s="150">
        <v>0</v>
      </c>
      <c r="I835" s="567">
        <f t="shared" si="22"/>
        <v>0</v>
      </c>
    </row>
    <row r="836" spans="1:9" x14ac:dyDescent="0.15">
      <c r="A836" s="138"/>
      <c r="B836" s="521" t="s">
        <v>843</v>
      </c>
      <c r="C836" s="138" t="s">
        <v>848</v>
      </c>
      <c r="D836" s="144">
        <v>0</v>
      </c>
      <c r="E836" s="144">
        <v>0</v>
      </c>
      <c r="F836" s="144">
        <v>0</v>
      </c>
      <c r="G836" s="291">
        <v>0</v>
      </c>
      <c r="H836" s="150">
        <v>0</v>
      </c>
      <c r="I836" s="567">
        <f t="shared" si="22"/>
        <v>0</v>
      </c>
    </row>
    <row r="837" spans="1:9" x14ac:dyDescent="0.15">
      <c r="A837" s="138"/>
      <c r="B837" s="521" t="s">
        <v>844</v>
      </c>
      <c r="C837" s="138" t="s">
        <v>153</v>
      </c>
      <c r="D837" s="144">
        <v>0</v>
      </c>
      <c r="E837" s="144">
        <v>0</v>
      </c>
      <c r="F837" s="144">
        <v>0</v>
      </c>
      <c r="G837" s="291">
        <v>0</v>
      </c>
      <c r="H837" s="150">
        <v>0</v>
      </c>
      <c r="I837" s="567">
        <f t="shared" si="22"/>
        <v>0</v>
      </c>
    </row>
    <row r="838" spans="1:9" x14ac:dyDescent="0.15">
      <c r="A838" s="138"/>
      <c r="B838" s="521" t="s">
        <v>845</v>
      </c>
      <c r="C838" s="138" t="s">
        <v>154</v>
      </c>
      <c r="D838" s="144">
        <v>0</v>
      </c>
      <c r="E838" s="144">
        <v>0</v>
      </c>
      <c r="F838" s="144">
        <v>0</v>
      </c>
      <c r="G838" s="291">
        <v>0</v>
      </c>
      <c r="H838" s="150">
        <v>0</v>
      </c>
      <c r="I838" s="567">
        <f t="shared" si="22"/>
        <v>0</v>
      </c>
    </row>
    <row r="839" spans="1:9" x14ac:dyDescent="0.15">
      <c r="A839" s="138"/>
      <c r="B839" s="521" t="s">
        <v>846</v>
      </c>
      <c r="C839" s="138" t="s">
        <v>155</v>
      </c>
      <c r="D839" s="144">
        <v>0</v>
      </c>
      <c r="E839" s="144">
        <v>0</v>
      </c>
      <c r="F839" s="144">
        <v>0</v>
      </c>
      <c r="G839" s="291">
        <v>0</v>
      </c>
      <c r="H839" s="150">
        <v>0</v>
      </c>
      <c r="I839" s="567">
        <f t="shared" si="22"/>
        <v>0</v>
      </c>
    </row>
    <row r="840" spans="1:9" x14ac:dyDescent="0.15">
      <c r="A840" s="138"/>
      <c r="B840" s="521" t="s">
        <v>1582</v>
      </c>
      <c r="C840" s="138" t="s">
        <v>156</v>
      </c>
      <c r="D840" s="144">
        <v>0</v>
      </c>
      <c r="E840" s="144">
        <v>0</v>
      </c>
      <c r="F840" s="144">
        <v>0</v>
      </c>
      <c r="G840" s="291">
        <v>0</v>
      </c>
      <c r="H840" s="150">
        <v>0</v>
      </c>
      <c r="I840" s="567">
        <f t="shared" si="22"/>
        <v>0</v>
      </c>
    </row>
    <row r="841" spans="1:9" x14ac:dyDescent="0.15">
      <c r="A841" s="138"/>
      <c r="B841" s="521" t="s">
        <v>847</v>
      </c>
      <c r="C841" s="138" t="s">
        <v>157</v>
      </c>
      <c r="D841" s="144">
        <v>0</v>
      </c>
      <c r="E841" s="144">
        <v>0</v>
      </c>
      <c r="F841" s="144">
        <v>0</v>
      </c>
      <c r="G841" s="291">
        <v>0</v>
      </c>
      <c r="H841" s="150">
        <v>0</v>
      </c>
      <c r="I841" s="567">
        <f t="shared" si="22"/>
        <v>0</v>
      </c>
    </row>
    <row r="842" spans="1:9" x14ac:dyDescent="0.15">
      <c r="A842" s="138"/>
      <c r="B842" s="521" t="s">
        <v>1583</v>
      </c>
      <c r="C842" s="138" t="s">
        <v>160</v>
      </c>
      <c r="D842" s="144">
        <v>0</v>
      </c>
      <c r="E842" s="144">
        <v>0</v>
      </c>
      <c r="F842" s="144">
        <v>0</v>
      </c>
      <c r="G842" s="291">
        <v>0</v>
      </c>
      <c r="H842" s="150">
        <v>0</v>
      </c>
      <c r="I842" s="567">
        <f t="shared" si="22"/>
        <v>0</v>
      </c>
    </row>
    <row r="843" spans="1:9" x14ac:dyDescent="0.15">
      <c r="A843" s="138"/>
      <c r="B843" s="521" t="s">
        <v>634</v>
      </c>
      <c r="C843" s="138" t="s">
        <v>165</v>
      </c>
      <c r="D843" s="144">
        <v>0</v>
      </c>
      <c r="E843" s="144">
        <v>0</v>
      </c>
      <c r="F843" s="144">
        <v>0</v>
      </c>
      <c r="G843" s="291">
        <v>0</v>
      </c>
      <c r="H843" s="150">
        <v>0</v>
      </c>
      <c r="I843" s="567">
        <f t="shared" si="22"/>
        <v>0</v>
      </c>
    </row>
    <row r="844" spans="1:9" x14ac:dyDescent="0.15">
      <c r="A844" s="138"/>
      <c r="B844" s="521" t="s">
        <v>630</v>
      </c>
      <c r="C844" s="138" t="s">
        <v>172</v>
      </c>
      <c r="D844" s="144">
        <v>0</v>
      </c>
      <c r="E844" s="144">
        <v>0</v>
      </c>
      <c r="F844" s="144">
        <v>0</v>
      </c>
      <c r="G844" s="291">
        <v>0</v>
      </c>
      <c r="H844" s="150">
        <v>0</v>
      </c>
      <c r="I844" s="567">
        <f t="shared" si="22"/>
        <v>0</v>
      </c>
    </row>
    <row r="845" spans="1:9" x14ac:dyDescent="0.15">
      <c r="A845" s="138"/>
      <c r="B845" s="650" t="s">
        <v>631</v>
      </c>
      <c r="C845" s="651" t="s">
        <v>173</v>
      </c>
      <c r="D845" s="144">
        <v>0</v>
      </c>
      <c r="E845" s="144">
        <v>0</v>
      </c>
      <c r="F845" s="144">
        <v>0</v>
      </c>
      <c r="G845" s="291">
        <v>0</v>
      </c>
      <c r="H845" s="150">
        <v>0</v>
      </c>
      <c r="I845" s="567">
        <f t="shared" si="22"/>
        <v>0</v>
      </c>
    </row>
    <row r="846" spans="1:9" x14ac:dyDescent="0.15">
      <c r="A846" s="138"/>
      <c r="B846" s="521" t="s">
        <v>1584</v>
      </c>
      <c r="C846" s="138" t="s">
        <v>178</v>
      </c>
      <c r="D846" s="144">
        <v>0</v>
      </c>
      <c r="E846" s="144">
        <v>0</v>
      </c>
      <c r="F846" s="144">
        <v>0</v>
      </c>
      <c r="G846" s="291">
        <v>0</v>
      </c>
      <c r="H846" s="150">
        <v>0</v>
      </c>
      <c r="I846" s="567">
        <f t="shared" si="22"/>
        <v>0</v>
      </c>
    </row>
    <row r="847" spans="1:9" x14ac:dyDescent="0.15">
      <c r="A847" s="138"/>
      <c r="B847" s="521" t="s">
        <v>174</v>
      </c>
      <c r="C847" s="138" t="s">
        <v>179</v>
      </c>
      <c r="D847" s="144">
        <v>0</v>
      </c>
      <c r="E847" s="144">
        <v>0</v>
      </c>
      <c r="F847" s="144">
        <v>0</v>
      </c>
      <c r="G847" s="291">
        <v>0</v>
      </c>
      <c r="H847" s="150">
        <v>0</v>
      </c>
      <c r="I847" s="567">
        <f t="shared" si="22"/>
        <v>0</v>
      </c>
    </row>
    <row r="848" spans="1:9" x14ac:dyDescent="0.15">
      <c r="A848" s="138"/>
      <c r="B848" s="521" t="s">
        <v>175</v>
      </c>
      <c r="C848" s="138" t="s">
        <v>180</v>
      </c>
      <c r="D848" s="144">
        <v>0</v>
      </c>
      <c r="E848" s="144">
        <v>0</v>
      </c>
      <c r="F848" s="144">
        <v>0</v>
      </c>
      <c r="G848" s="291">
        <v>0</v>
      </c>
      <c r="H848" s="150">
        <v>0</v>
      </c>
      <c r="I848" s="567">
        <f t="shared" si="22"/>
        <v>0</v>
      </c>
    </row>
    <row r="849" spans="1:9" ht="11.25" thickBot="1" x14ac:dyDescent="0.2">
      <c r="A849" s="138"/>
      <c r="B849" s="521" t="s">
        <v>176</v>
      </c>
      <c r="C849" s="138" t="s">
        <v>181</v>
      </c>
      <c r="D849" s="144">
        <v>0</v>
      </c>
      <c r="E849" s="144">
        <v>0</v>
      </c>
      <c r="F849" s="144">
        <v>0</v>
      </c>
      <c r="G849" s="291">
        <v>0</v>
      </c>
      <c r="H849" s="150">
        <v>0</v>
      </c>
      <c r="I849" s="567">
        <f t="shared" si="22"/>
        <v>0</v>
      </c>
    </row>
    <row r="850" spans="1:9" ht="12" thickTop="1" thickBot="1" x14ac:dyDescent="0.2">
      <c r="A850" s="138"/>
      <c r="B850" s="521"/>
      <c r="C850" s="138" t="s">
        <v>378</v>
      </c>
      <c r="D850" s="169">
        <f>SUM(D816:D849)</f>
        <v>0</v>
      </c>
      <c r="E850" s="169">
        <f>SUM(E816:E849)</f>
        <v>0</v>
      </c>
      <c r="F850" s="169">
        <f>SUM(F816:F849)</f>
        <v>0</v>
      </c>
      <c r="G850" s="169">
        <f>SUM(G816:G849)</f>
        <v>0</v>
      </c>
      <c r="H850" s="169">
        <f>SUM(H816:H849)</f>
        <v>0</v>
      </c>
      <c r="I850" s="169">
        <f t="shared" si="22"/>
        <v>0</v>
      </c>
    </row>
    <row r="851" spans="1:9" ht="11.25" thickTop="1" x14ac:dyDescent="0.15">
      <c r="A851" s="138"/>
      <c r="B851" s="138"/>
      <c r="C851" s="138"/>
      <c r="D851" s="14"/>
      <c r="E851" s="14"/>
      <c r="F851" s="14"/>
      <c r="G851" s="14"/>
      <c r="H851" s="14"/>
      <c r="I851" s="563"/>
    </row>
    <row r="852" spans="1:9" x14ac:dyDescent="0.15">
      <c r="A852" s="522" t="s">
        <v>380</v>
      </c>
      <c r="B852" s="138"/>
      <c r="C852" s="138"/>
      <c r="D852" s="14"/>
      <c r="E852" s="14"/>
      <c r="F852" s="14"/>
      <c r="G852" s="14"/>
      <c r="H852" s="14"/>
      <c r="I852" s="563"/>
    </row>
    <row r="853" spans="1:9" s="434" customFormat="1" x14ac:dyDescent="0.15">
      <c r="B853" s="523" t="s">
        <v>1577</v>
      </c>
      <c r="C853" s="524" t="s">
        <v>228</v>
      </c>
      <c r="D853" s="316">
        <v>0</v>
      </c>
      <c r="E853" s="316">
        <v>0</v>
      </c>
      <c r="F853" s="316">
        <v>0</v>
      </c>
      <c r="G853" s="528">
        <f t="array" ref="G853">SUM(IF(CertFund&amp;CertProg&amp;CertObj=RIGHT(LEFT($A$2,7),2)&amp;LEFT(A852,4)&amp;B853,CertSalary))</f>
        <v>0</v>
      </c>
      <c r="H853" s="527">
        <v>0</v>
      </c>
      <c r="I853" s="566">
        <f t="shared" ref="I853:I887" si="23">SUM(G853+H853)</f>
        <v>0</v>
      </c>
    </row>
    <row r="854" spans="1:9" s="434" customFormat="1" x14ac:dyDescent="0.15">
      <c r="B854" s="523" t="s">
        <v>1577</v>
      </c>
      <c r="C854" s="524" t="s">
        <v>510</v>
      </c>
      <c r="D854" s="316">
        <v>0</v>
      </c>
      <c r="E854" s="316">
        <v>0</v>
      </c>
      <c r="F854" s="316">
        <v>0</v>
      </c>
      <c r="G854" s="316">
        <v>0</v>
      </c>
      <c r="H854" s="527">
        <v>0</v>
      </c>
      <c r="I854" s="566">
        <f t="shared" si="23"/>
        <v>0</v>
      </c>
    </row>
    <row r="855" spans="1:9" s="434" customFormat="1" x14ac:dyDescent="0.15">
      <c r="A855" s="524"/>
      <c r="B855" s="523" t="s">
        <v>1578</v>
      </c>
      <c r="C855" s="524" t="s">
        <v>936</v>
      </c>
      <c r="D855" s="316">
        <v>0</v>
      </c>
      <c r="E855" s="316">
        <v>0</v>
      </c>
      <c r="F855" s="316">
        <v>0</v>
      </c>
      <c r="G855" s="529">
        <f t="array" ref="G855">SUM(IF(CertFund&amp;CertProg&amp;CertObj=RIGHT(LEFT($A$2,7),2)&amp;LEFT(A852,4)&amp;B853,CertBen))</f>
        <v>0</v>
      </c>
      <c r="H855" s="527">
        <v>0</v>
      </c>
      <c r="I855" s="566">
        <f t="shared" si="23"/>
        <v>0</v>
      </c>
    </row>
    <row r="856" spans="1:9" s="434" customFormat="1" x14ac:dyDescent="0.15">
      <c r="A856" s="524"/>
      <c r="B856" s="523" t="s">
        <v>1578</v>
      </c>
      <c r="C856" s="524" t="s">
        <v>511</v>
      </c>
      <c r="D856" s="316">
        <v>0</v>
      </c>
      <c r="E856" s="316">
        <v>0</v>
      </c>
      <c r="F856" s="316">
        <v>0</v>
      </c>
      <c r="G856" s="316">
        <v>0</v>
      </c>
      <c r="H856" s="527">
        <v>0</v>
      </c>
      <c r="I856" s="566">
        <f t="shared" si="23"/>
        <v>0</v>
      </c>
    </row>
    <row r="857" spans="1:9" x14ac:dyDescent="0.15">
      <c r="A857" s="138"/>
      <c r="B857" s="521" t="s">
        <v>1579</v>
      </c>
      <c r="C857" s="138" t="s">
        <v>118</v>
      </c>
      <c r="D857" s="144">
        <v>0</v>
      </c>
      <c r="E857" s="144">
        <v>0</v>
      </c>
      <c r="F857" s="144">
        <v>0</v>
      </c>
      <c r="G857" s="291">
        <v>0</v>
      </c>
      <c r="H857" s="150">
        <v>0</v>
      </c>
      <c r="I857" s="567">
        <f t="shared" si="23"/>
        <v>0</v>
      </c>
    </row>
    <row r="858" spans="1:9" x14ac:dyDescent="0.15">
      <c r="A858" s="138"/>
      <c r="B858" s="521" t="s">
        <v>1580</v>
      </c>
      <c r="C858" s="138" t="s">
        <v>119</v>
      </c>
      <c r="D858" s="144">
        <v>0</v>
      </c>
      <c r="E858" s="144">
        <v>0</v>
      </c>
      <c r="F858" s="144">
        <v>0</v>
      </c>
      <c r="G858" s="291">
        <v>0</v>
      </c>
      <c r="H858" s="150">
        <v>0</v>
      </c>
      <c r="I858" s="567">
        <f t="shared" si="23"/>
        <v>0</v>
      </c>
    </row>
    <row r="859" spans="1:9" x14ac:dyDescent="0.15">
      <c r="A859" s="138"/>
      <c r="B859" s="521" t="s">
        <v>120</v>
      </c>
      <c r="C859" s="138" t="s">
        <v>121</v>
      </c>
      <c r="D859" s="144">
        <v>0</v>
      </c>
      <c r="E859" s="144">
        <v>0</v>
      </c>
      <c r="F859" s="144">
        <v>0</v>
      </c>
      <c r="G859" s="291">
        <v>0</v>
      </c>
      <c r="H859" s="150">
        <v>0</v>
      </c>
      <c r="I859" s="567">
        <f t="shared" si="23"/>
        <v>0</v>
      </c>
    </row>
    <row r="860" spans="1:9" x14ac:dyDescent="0.15">
      <c r="A860" s="138"/>
      <c r="B860" s="521" t="s">
        <v>122</v>
      </c>
      <c r="C860" s="138" t="s">
        <v>123</v>
      </c>
      <c r="D860" s="144">
        <v>0</v>
      </c>
      <c r="E860" s="144">
        <v>0</v>
      </c>
      <c r="F860" s="144">
        <v>0</v>
      </c>
      <c r="G860" s="291">
        <v>0</v>
      </c>
      <c r="H860" s="150">
        <v>0</v>
      </c>
      <c r="I860" s="567">
        <f t="shared" si="23"/>
        <v>0</v>
      </c>
    </row>
    <row r="861" spans="1:9" x14ac:dyDescent="0.15">
      <c r="A861" s="138"/>
      <c r="B861" s="521" t="s">
        <v>1581</v>
      </c>
      <c r="C861" s="138" t="s">
        <v>124</v>
      </c>
      <c r="D861" s="144">
        <v>0</v>
      </c>
      <c r="E861" s="144">
        <v>0</v>
      </c>
      <c r="F861" s="144">
        <v>0</v>
      </c>
      <c r="G861" s="291">
        <v>0</v>
      </c>
      <c r="H861" s="150">
        <v>0</v>
      </c>
      <c r="I861" s="567">
        <f t="shared" si="23"/>
        <v>0</v>
      </c>
    </row>
    <row r="862" spans="1:9" x14ac:dyDescent="0.15">
      <c r="A862" s="138"/>
      <c r="B862" s="521" t="s">
        <v>127</v>
      </c>
      <c r="C862" s="138" t="s">
        <v>134</v>
      </c>
      <c r="D862" s="144">
        <v>0</v>
      </c>
      <c r="E862" s="144">
        <v>0</v>
      </c>
      <c r="F862" s="144">
        <v>0</v>
      </c>
      <c r="G862" s="291">
        <v>0</v>
      </c>
      <c r="H862" s="150">
        <v>0</v>
      </c>
      <c r="I862" s="567">
        <f t="shared" si="23"/>
        <v>0</v>
      </c>
    </row>
    <row r="863" spans="1:9" x14ac:dyDescent="0.15">
      <c r="A863" s="138"/>
      <c r="B863" s="521" t="s">
        <v>128</v>
      </c>
      <c r="C863" s="138" t="s">
        <v>135</v>
      </c>
      <c r="D863" s="144">
        <v>0</v>
      </c>
      <c r="E863" s="144">
        <v>0</v>
      </c>
      <c r="F863" s="144">
        <v>0</v>
      </c>
      <c r="G863" s="291">
        <v>0</v>
      </c>
      <c r="H863" s="150">
        <v>0</v>
      </c>
      <c r="I863" s="567">
        <f t="shared" si="23"/>
        <v>0</v>
      </c>
    </row>
    <row r="864" spans="1:9" x14ac:dyDescent="0.15">
      <c r="A864" s="138"/>
      <c r="B864" s="521" t="s">
        <v>132</v>
      </c>
      <c r="C864" s="138" t="s">
        <v>1617</v>
      </c>
      <c r="D864" s="144">
        <v>0</v>
      </c>
      <c r="E864" s="144">
        <v>0</v>
      </c>
      <c r="F864" s="144">
        <v>0</v>
      </c>
      <c r="G864" s="291">
        <v>0</v>
      </c>
      <c r="H864" s="150">
        <v>0</v>
      </c>
      <c r="I864" s="567">
        <f t="shared" si="23"/>
        <v>0</v>
      </c>
    </row>
    <row r="865" spans="1:9" x14ac:dyDescent="0.15">
      <c r="A865" s="138"/>
      <c r="B865" s="521" t="s">
        <v>1618</v>
      </c>
      <c r="C865" s="138" t="s">
        <v>836</v>
      </c>
      <c r="D865" s="144">
        <v>0</v>
      </c>
      <c r="E865" s="144">
        <v>0</v>
      </c>
      <c r="F865" s="144">
        <v>0</v>
      </c>
      <c r="G865" s="291">
        <v>0</v>
      </c>
      <c r="H865" s="150">
        <v>0</v>
      </c>
      <c r="I865" s="567">
        <f t="shared" si="23"/>
        <v>0</v>
      </c>
    </row>
    <row r="866" spans="1:9" x14ac:dyDescent="0.15">
      <c r="A866" s="138"/>
      <c r="B866" s="521" t="s">
        <v>1619</v>
      </c>
      <c r="C866" s="138" t="s">
        <v>837</v>
      </c>
      <c r="D866" s="144">
        <v>0</v>
      </c>
      <c r="E866" s="144">
        <v>0</v>
      </c>
      <c r="F866" s="144">
        <v>0</v>
      </c>
      <c r="G866" s="291">
        <v>0</v>
      </c>
      <c r="H866" s="150">
        <v>0</v>
      </c>
      <c r="I866" s="567">
        <f t="shared" si="23"/>
        <v>0</v>
      </c>
    </row>
    <row r="867" spans="1:9" x14ac:dyDescent="0.15">
      <c r="A867" s="138"/>
      <c r="B867" s="521" t="s">
        <v>1620</v>
      </c>
      <c r="C867" s="138" t="s">
        <v>838</v>
      </c>
      <c r="D867" s="144">
        <v>0</v>
      </c>
      <c r="E867" s="144">
        <v>0</v>
      </c>
      <c r="F867" s="144">
        <v>0</v>
      </c>
      <c r="G867" s="291">
        <v>0</v>
      </c>
      <c r="H867" s="150">
        <v>0</v>
      </c>
      <c r="I867" s="567">
        <f t="shared" si="23"/>
        <v>0</v>
      </c>
    </row>
    <row r="868" spans="1:9" x14ac:dyDescent="0.15">
      <c r="A868" s="138"/>
      <c r="B868" s="521" t="s">
        <v>1621</v>
      </c>
      <c r="C868" s="138" t="s">
        <v>839</v>
      </c>
      <c r="D868" s="144">
        <v>0</v>
      </c>
      <c r="E868" s="144">
        <v>0</v>
      </c>
      <c r="F868" s="144">
        <v>0</v>
      </c>
      <c r="G868" s="291">
        <v>0</v>
      </c>
      <c r="H868" s="150">
        <v>0</v>
      </c>
      <c r="I868" s="567">
        <f t="shared" si="23"/>
        <v>0</v>
      </c>
    </row>
    <row r="869" spans="1:9" x14ac:dyDescent="0.15">
      <c r="A869" s="138"/>
      <c r="B869" s="521" t="s">
        <v>1622</v>
      </c>
      <c r="C869" s="138" t="s">
        <v>190</v>
      </c>
      <c r="D869" s="144">
        <v>0</v>
      </c>
      <c r="E869" s="144">
        <v>0</v>
      </c>
      <c r="F869" s="144">
        <v>0</v>
      </c>
      <c r="G869" s="291">
        <v>0</v>
      </c>
      <c r="H869" s="150">
        <v>0</v>
      </c>
      <c r="I869" s="567">
        <f t="shared" si="23"/>
        <v>0</v>
      </c>
    </row>
    <row r="870" spans="1:9" x14ac:dyDescent="0.15">
      <c r="A870" s="138"/>
      <c r="B870" s="521" t="s">
        <v>1623</v>
      </c>
      <c r="C870" s="138" t="s">
        <v>191</v>
      </c>
      <c r="D870" s="144">
        <v>0</v>
      </c>
      <c r="E870" s="144">
        <v>0</v>
      </c>
      <c r="F870" s="144">
        <v>0</v>
      </c>
      <c r="G870" s="291">
        <v>0</v>
      </c>
      <c r="H870" s="150">
        <v>0</v>
      </c>
      <c r="I870" s="567">
        <f t="shared" si="23"/>
        <v>0</v>
      </c>
    </row>
    <row r="871" spans="1:9" x14ac:dyDescent="0.15">
      <c r="A871" s="138"/>
      <c r="B871" s="521" t="s">
        <v>1624</v>
      </c>
      <c r="C871" s="138" t="s">
        <v>840</v>
      </c>
      <c r="D871" s="144">
        <v>0</v>
      </c>
      <c r="E871" s="144">
        <v>0</v>
      </c>
      <c r="F871" s="144">
        <v>0</v>
      </c>
      <c r="G871" s="291">
        <v>0</v>
      </c>
      <c r="H871" s="150">
        <v>0</v>
      </c>
      <c r="I871" s="567">
        <f t="shared" si="23"/>
        <v>0</v>
      </c>
    </row>
    <row r="872" spans="1:9" x14ac:dyDescent="0.15">
      <c r="A872" s="138"/>
      <c r="B872" s="521" t="s">
        <v>1625</v>
      </c>
      <c r="C872" s="138" t="s">
        <v>842</v>
      </c>
      <c r="D872" s="144">
        <v>0</v>
      </c>
      <c r="E872" s="144">
        <v>0</v>
      </c>
      <c r="F872" s="144">
        <v>0</v>
      </c>
      <c r="G872" s="291">
        <v>0</v>
      </c>
      <c r="H872" s="150">
        <v>0</v>
      </c>
      <c r="I872" s="567">
        <f t="shared" si="23"/>
        <v>0</v>
      </c>
    </row>
    <row r="873" spans="1:9" x14ac:dyDescent="0.15">
      <c r="A873" s="138"/>
      <c r="B873" s="521" t="s">
        <v>843</v>
      </c>
      <c r="C873" s="138" t="s">
        <v>848</v>
      </c>
      <c r="D873" s="144">
        <v>0</v>
      </c>
      <c r="E873" s="144">
        <v>0</v>
      </c>
      <c r="F873" s="144">
        <v>0</v>
      </c>
      <c r="G873" s="291">
        <v>0</v>
      </c>
      <c r="H873" s="150">
        <v>0</v>
      </c>
      <c r="I873" s="567">
        <f t="shared" si="23"/>
        <v>0</v>
      </c>
    </row>
    <row r="874" spans="1:9" x14ac:dyDescent="0.15">
      <c r="A874" s="138"/>
      <c r="B874" s="521" t="s">
        <v>844</v>
      </c>
      <c r="C874" s="138" t="s">
        <v>153</v>
      </c>
      <c r="D874" s="144">
        <v>0</v>
      </c>
      <c r="E874" s="144">
        <v>0</v>
      </c>
      <c r="F874" s="144">
        <v>0</v>
      </c>
      <c r="G874" s="291">
        <v>0</v>
      </c>
      <c r="H874" s="150">
        <v>0</v>
      </c>
      <c r="I874" s="567">
        <f t="shared" si="23"/>
        <v>0</v>
      </c>
    </row>
    <row r="875" spans="1:9" x14ac:dyDescent="0.15">
      <c r="A875" s="138"/>
      <c r="B875" s="521" t="s">
        <v>845</v>
      </c>
      <c r="C875" s="138" t="s">
        <v>154</v>
      </c>
      <c r="D875" s="144">
        <v>0</v>
      </c>
      <c r="E875" s="144">
        <v>0</v>
      </c>
      <c r="F875" s="144">
        <v>0</v>
      </c>
      <c r="G875" s="291">
        <v>0</v>
      </c>
      <c r="H875" s="150">
        <v>0</v>
      </c>
      <c r="I875" s="567">
        <f t="shared" si="23"/>
        <v>0</v>
      </c>
    </row>
    <row r="876" spans="1:9" x14ac:dyDescent="0.15">
      <c r="A876" s="138"/>
      <c r="B876" s="521" t="s">
        <v>846</v>
      </c>
      <c r="C876" s="138" t="s">
        <v>155</v>
      </c>
      <c r="D876" s="144">
        <v>0</v>
      </c>
      <c r="E876" s="144">
        <v>0</v>
      </c>
      <c r="F876" s="144">
        <v>0</v>
      </c>
      <c r="G876" s="291">
        <v>0</v>
      </c>
      <c r="H876" s="150">
        <v>0</v>
      </c>
      <c r="I876" s="567">
        <f t="shared" si="23"/>
        <v>0</v>
      </c>
    </row>
    <row r="877" spans="1:9" x14ac:dyDescent="0.15">
      <c r="A877" s="138"/>
      <c r="B877" s="521" t="s">
        <v>1582</v>
      </c>
      <c r="C877" s="138" t="s">
        <v>156</v>
      </c>
      <c r="D877" s="144">
        <v>0</v>
      </c>
      <c r="E877" s="144">
        <v>0</v>
      </c>
      <c r="F877" s="144">
        <v>0</v>
      </c>
      <c r="G877" s="291">
        <v>0</v>
      </c>
      <c r="H877" s="150">
        <v>0</v>
      </c>
      <c r="I877" s="567">
        <f t="shared" si="23"/>
        <v>0</v>
      </c>
    </row>
    <row r="878" spans="1:9" x14ac:dyDescent="0.15">
      <c r="A878" s="138"/>
      <c r="B878" s="521" t="s">
        <v>847</v>
      </c>
      <c r="C878" s="138" t="s">
        <v>157</v>
      </c>
      <c r="D878" s="144">
        <v>0</v>
      </c>
      <c r="E878" s="144">
        <v>0</v>
      </c>
      <c r="F878" s="144">
        <v>0</v>
      </c>
      <c r="G878" s="291">
        <v>0</v>
      </c>
      <c r="H878" s="150">
        <v>0</v>
      </c>
      <c r="I878" s="567">
        <f t="shared" si="23"/>
        <v>0</v>
      </c>
    </row>
    <row r="879" spans="1:9" x14ac:dyDescent="0.15">
      <c r="A879" s="138"/>
      <c r="B879" s="521" t="s">
        <v>1583</v>
      </c>
      <c r="C879" s="138" t="s">
        <v>160</v>
      </c>
      <c r="D879" s="144">
        <v>0</v>
      </c>
      <c r="E879" s="144">
        <v>0</v>
      </c>
      <c r="F879" s="144">
        <v>0</v>
      </c>
      <c r="G879" s="291">
        <v>0</v>
      </c>
      <c r="H879" s="150">
        <v>0</v>
      </c>
      <c r="I879" s="567">
        <f t="shared" si="23"/>
        <v>0</v>
      </c>
    </row>
    <row r="880" spans="1:9" x14ac:dyDescent="0.15">
      <c r="A880" s="138"/>
      <c r="B880" s="521" t="s">
        <v>634</v>
      </c>
      <c r="C880" s="138" t="s">
        <v>165</v>
      </c>
      <c r="D880" s="144">
        <v>0</v>
      </c>
      <c r="E880" s="144">
        <v>0</v>
      </c>
      <c r="F880" s="144">
        <v>0</v>
      </c>
      <c r="G880" s="291">
        <v>0</v>
      </c>
      <c r="H880" s="150">
        <v>0</v>
      </c>
      <c r="I880" s="567">
        <f t="shared" si="23"/>
        <v>0</v>
      </c>
    </row>
    <row r="881" spans="1:10" x14ac:dyDescent="0.15">
      <c r="A881" s="138"/>
      <c r="B881" s="521" t="s">
        <v>630</v>
      </c>
      <c r="C881" s="138" t="s">
        <v>172</v>
      </c>
      <c r="D881" s="144">
        <v>0</v>
      </c>
      <c r="E881" s="144">
        <v>0</v>
      </c>
      <c r="F881" s="144">
        <v>0</v>
      </c>
      <c r="G881" s="291">
        <v>0</v>
      </c>
      <c r="H881" s="150">
        <v>0</v>
      </c>
      <c r="I881" s="567">
        <f t="shared" si="23"/>
        <v>0</v>
      </c>
    </row>
    <row r="882" spans="1:10" x14ac:dyDescent="0.15">
      <c r="A882" s="138"/>
      <c r="B882" s="650" t="s">
        <v>631</v>
      </c>
      <c r="C882" s="651" t="s">
        <v>173</v>
      </c>
      <c r="D882" s="144">
        <v>0</v>
      </c>
      <c r="E882" s="144">
        <v>0</v>
      </c>
      <c r="F882" s="144">
        <v>0</v>
      </c>
      <c r="G882" s="291">
        <v>0</v>
      </c>
      <c r="H882" s="150">
        <v>0</v>
      </c>
      <c r="I882" s="567">
        <f t="shared" si="23"/>
        <v>0</v>
      </c>
    </row>
    <row r="883" spans="1:10" x14ac:dyDescent="0.15">
      <c r="A883" s="138"/>
      <c r="B883" s="521" t="s">
        <v>1584</v>
      </c>
      <c r="C883" s="138" t="s">
        <v>178</v>
      </c>
      <c r="D883" s="144">
        <v>0</v>
      </c>
      <c r="E883" s="144">
        <v>0</v>
      </c>
      <c r="F883" s="144">
        <v>0</v>
      </c>
      <c r="G883" s="291">
        <v>0</v>
      </c>
      <c r="H883" s="150">
        <v>0</v>
      </c>
      <c r="I883" s="567">
        <f t="shared" si="23"/>
        <v>0</v>
      </c>
    </row>
    <row r="884" spans="1:10" x14ac:dyDescent="0.15">
      <c r="A884" s="138"/>
      <c r="B884" s="521" t="s">
        <v>174</v>
      </c>
      <c r="C884" s="138" t="s">
        <v>179</v>
      </c>
      <c r="D884" s="144">
        <v>0</v>
      </c>
      <c r="E884" s="144">
        <v>0</v>
      </c>
      <c r="F884" s="144">
        <v>0</v>
      </c>
      <c r="G884" s="291">
        <v>0</v>
      </c>
      <c r="H884" s="150">
        <v>0</v>
      </c>
      <c r="I884" s="567">
        <f t="shared" si="23"/>
        <v>0</v>
      </c>
    </row>
    <row r="885" spans="1:10" x14ac:dyDescent="0.15">
      <c r="A885" s="138"/>
      <c r="B885" s="521" t="s">
        <v>175</v>
      </c>
      <c r="C885" s="138" t="s">
        <v>180</v>
      </c>
      <c r="D885" s="144">
        <v>0</v>
      </c>
      <c r="E885" s="144">
        <v>0</v>
      </c>
      <c r="F885" s="144">
        <v>0</v>
      </c>
      <c r="G885" s="291">
        <v>0</v>
      </c>
      <c r="H885" s="150">
        <v>0</v>
      </c>
      <c r="I885" s="567">
        <f t="shared" si="23"/>
        <v>0</v>
      </c>
    </row>
    <row r="886" spans="1:10" ht="11.25" thickBot="1" x14ac:dyDescent="0.2">
      <c r="A886" s="138"/>
      <c r="B886" s="521" t="s">
        <v>176</v>
      </c>
      <c r="C886" s="138" t="s">
        <v>181</v>
      </c>
      <c r="D886" s="144">
        <v>0</v>
      </c>
      <c r="E886" s="144">
        <v>0</v>
      </c>
      <c r="F886" s="144">
        <v>0</v>
      </c>
      <c r="G886" s="291">
        <v>0</v>
      </c>
      <c r="H886" s="150">
        <v>0</v>
      </c>
      <c r="I886" s="567">
        <f t="shared" si="23"/>
        <v>0</v>
      </c>
    </row>
    <row r="887" spans="1:10" ht="12" thickTop="1" thickBot="1" x14ac:dyDescent="0.2">
      <c r="A887" s="138"/>
      <c r="B887" s="521"/>
      <c r="C887" s="138" t="s">
        <v>381</v>
      </c>
      <c r="D887" s="169">
        <f>SUM(D853:D886)</f>
        <v>0</v>
      </c>
      <c r="E887" s="169">
        <f>SUM(E853:E886)</f>
        <v>0</v>
      </c>
      <c r="F887" s="169">
        <f>SUM(F853:F886)</f>
        <v>0</v>
      </c>
      <c r="G887" s="169">
        <f>SUM(G853:G886)</f>
        <v>0</v>
      </c>
      <c r="H887" s="169">
        <f>SUM(H853:H886)</f>
        <v>0</v>
      </c>
      <c r="I887" s="169">
        <f t="shared" si="23"/>
        <v>0</v>
      </c>
    </row>
    <row r="888" spans="1:10" ht="11.25" thickTop="1" x14ac:dyDescent="0.15">
      <c r="A888" s="138"/>
      <c r="B888" s="138"/>
      <c r="C888" s="138"/>
      <c r="D888" s="14"/>
      <c r="E888" s="14"/>
      <c r="F888" s="14"/>
      <c r="G888" s="14"/>
      <c r="H888" s="14"/>
      <c r="I888" s="563"/>
    </row>
    <row r="889" spans="1:10" x14ac:dyDescent="0.15">
      <c r="A889" s="522" t="s">
        <v>382</v>
      </c>
      <c r="B889" s="138"/>
      <c r="C889" s="138"/>
      <c r="D889" s="14"/>
      <c r="E889" s="14"/>
      <c r="F889" s="14"/>
      <c r="G889" s="14"/>
      <c r="H889" s="14"/>
      <c r="I889" s="563"/>
    </row>
    <row r="890" spans="1:10" s="434" customFormat="1" x14ac:dyDescent="0.15">
      <c r="B890" s="523" t="s">
        <v>1577</v>
      </c>
      <c r="C890" s="524" t="s">
        <v>228</v>
      </c>
      <c r="D890" s="316">
        <v>0</v>
      </c>
      <c r="E890" s="316">
        <v>0</v>
      </c>
      <c r="F890" s="316">
        <v>0</v>
      </c>
      <c r="G890" s="528">
        <f t="array" ref="G890">SUM(IF(CertFund&amp;CertProg&amp;CertObj=RIGHT(LEFT($A$2,7),2)&amp;LEFT(A889,4)&amp;B890,CertSalary))</f>
        <v>0</v>
      </c>
      <c r="H890" s="527">
        <v>0</v>
      </c>
      <c r="I890" s="566">
        <f t="shared" ref="I890:I924" si="24">SUM(G890+H890)</f>
        <v>0</v>
      </c>
    </row>
    <row r="891" spans="1:10" s="434" customFormat="1" x14ac:dyDescent="0.15">
      <c r="B891" s="523" t="s">
        <v>1577</v>
      </c>
      <c r="C891" s="524" t="s">
        <v>510</v>
      </c>
      <c r="D891" s="316">
        <v>0</v>
      </c>
      <c r="E891" s="316">
        <v>0</v>
      </c>
      <c r="F891" s="316">
        <v>0</v>
      </c>
      <c r="G891" s="316">
        <v>0</v>
      </c>
      <c r="H891" s="527">
        <v>0</v>
      </c>
      <c r="I891" s="566">
        <f t="shared" si="24"/>
        <v>0</v>
      </c>
    </row>
    <row r="892" spans="1:10" s="434" customFormat="1" x14ac:dyDescent="0.15">
      <c r="A892" s="524"/>
      <c r="B892" s="523" t="s">
        <v>1578</v>
      </c>
      <c r="C892" s="524" t="s">
        <v>936</v>
      </c>
      <c r="D892" s="316">
        <v>0</v>
      </c>
      <c r="E892" s="316">
        <v>0</v>
      </c>
      <c r="F892" s="316">
        <v>0</v>
      </c>
      <c r="G892" s="529">
        <f t="array" ref="G892">SUM(IF(CertFund&amp;CertProg&amp;CertObj=RIGHT(LEFT($A$2,7),2)&amp;LEFT(A889,4)&amp;B890,CertBen))</f>
        <v>0</v>
      </c>
      <c r="H892" s="527">
        <v>0</v>
      </c>
      <c r="I892" s="566">
        <f t="shared" si="24"/>
        <v>0</v>
      </c>
    </row>
    <row r="893" spans="1:10" x14ac:dyDescent="0.15">
      <c r="A893" s="138"/>
      <c r="B893" s="521" t="s">
        <v>1578</v>
      </c>
      <c r="C893" s="138" t="s">
        <v>511</v>
      </c>
      <c r="D893" s="147">
        <v>0</v>
      </c>
      <c r="E893" s="147">
        <v>0</v>
      </c>
      <c r="F893" s="147">
        <v>0</v>
      </c>
      <c r="G893" s="147">
        <v>0</v>
      </c>
      <c r="H893" s="150">
        <v>0</v>
      </c>
      <c r="I893" s="567">
        <f t="shared" si="24"/>
        <v>0</v>
      </c>
      <c r="J893" s="434"/>
    </row>
    <row r="894" spans="1:10" x14ac:dyDescent="0.15">
      <c r="A894" s="138"/>
      <c r="B894" s="521" t="s">
        <v>1579</v>
      </c>
      <c r="C894" s="138" t="s">
        <v>118</v>
      </c>
      <c r="D894" s="144">
        <v>0</v>
      </c>
      <c r="E894" s="144">
        <v>0</v>
      </c>
      <c r="F894" s="144">
        <v>0</v>
      </c>
      <c r="G894" s="291">
        <v>0</v>
      </c>
      <c r="H894" s="150">
        <v>0</v>
      </c>
      <c r="I894" s="567">
        <f t="shared" si="24"/>
        <v>0</v>
      </c>
    </row>
    <row r="895" spans="1:10" x14ac:dyDescent="0.15">
      <c r="A895" s="138"/>
      <c r="B895" s="521" t="s">
        <v>1580</v>
      </c>
      <c r="C895" s="138" t="s">
        <v>119</v>
      </c>
      <c r="D895" s="144">
        <v>0</v>
      </c>
      <c r="E895" s="144">
        <v>0</v>
      </c>
      <c r="F895" s="144">
        <v>0</v>
      </c>
      <c r="G895" s="291">
        <v>0</v>
      </c>
      <c r="H895" s="150">
        <v>0</v>
      </c>
      <c r="I895" s="567">
        <f t="shared" si="24"/>
        <v>0</v>
      </c>
    </row>
    <row r="896" spans="1:10" x14ac:dyDescent="0.15">
      <c r="A896" s="138"/>
      <c r="B896" s="521" t="s">
        <v>120</v>
      </c>
      <c r="C896" s="138" t="s">
        <v>121</v>
      </c>
      <c r="D896" s="144">
        <v>0</v>
      </c>
      <c r="E896" s="144">
        <v>0</v>
      </c>
      <c r="F896" s="144">
        <v>0</v>
      </c>
      <c r="G896" s="291">
        <v>0</v>
      </c>
      <c r="H896" s="150">
        <v>0</v>
      </c>
      <c r="I896" s="567">
        <f t="shared" si="24"/>
        <v>0</v>
      </c>
    </row>
    <row r="897" spans="1:9" x14ac:dyDescent="0.15">
      <c r="A897" s="138"/>
      <c r="B897" s="521" t="s">
        <v>122</v>
      </c>
      <c r="C897" s="138" t="s">
        <v>123</v>
      </c>
      <c r="D897" s="144">
        <v>0</v>
      </c>
      <c r="E897" s="144">
        <v>0</v>
      </c>
      <c r="F897" s="144">
        <v>0</v>
      </c>
      <c r="G897" s="291">
        <v>0</v>
      </c>
      <c r="H897" s="150">
        <v>0</v>
      </c>
      <c r="I897" s="567">
        <f t="shared" si="24"/>
        <v>0</v>
      </c>
    </row>
    <row r="898" spans="1:9" x14ac:dyDescent="0.15">
      <c r="A898" s="138"/>
      <c r="B898" s="521" t="s">
        <v>1581</v>
      </c>
      <c r="C898" s="138" t="s">
        <v>124</v>
      </c>
      <c r="D898" s="144">
        <v>0</v>
      </c>
      <c r="E898" s="144">
        <v>0</v>
      </c>
      <c r="F898" s="144">
        <v>0</v>
      </c>
      <c r="G898" s="291">
        <v>0</v>
      </c>
      <c r="H898" s="150">
        <v>0</v>
      </c>
      <c r="I898" s="567">
        <f t="shared" si="24"/>
        <v>0</v>
      </c>
    </row>
    <row r="899" spans="1:9" x14ac:dyDescent="0.15">
      <c r="A899" s="138"/>
      <c r="B899" s="521" t="s">
        <v>127</v>
      </c>
      <c r="C899" s="138" t="s">
        <v>134</v>
      </c>
      <c r="D899" s="144">
        <v>0</v>
      </c>
      <c r="E899" s="144">
        <v>0</v>
      </c>
      <c r="F899" s="144">
        <v>0</v>
      </c>
      <c r="G899" s="291">
        <v>0</v>
      </c>
      <c r="H899" s="150">
        <v>0</v>
      </c>
      <c r="I899" s="567">
        <f t="shared" si="24"/>
        <v>0</v>
      </c>
    </row>
    <row r="900" spans="1:9" x14ac:dyDescent="0.15">
      <c r="A900" s="138"/>
      <c r="B900" s="521" t="s">
        <v>128</v>
      </c>
      <c r="C900" s="138" t="s">
        <v>135</v>
      </c>
      <c r="D900" s="144">
        <v>0</v>
      </c>
      <c r="E900" s="144">
        <v>0</v>
      </c>
      <c r="F900" s="144">
        <v>0</v>
      </c>
      <c r="G900" s="291">
        <v>0</v>
      </c>
      <c r="H900" s="150">
        <v>0</v>
      </c>
      <c r="I900" s="567">
        <f t="shared" si="24"/>
        <v>0</v>
      </c>
    </row>
    <row r="901" spans="1:9" x14ac:dyDescent="0.15">
      <c r="A901" s="138"/>
      <c r="B901" s="521" t="s">
        <v>132</v>
      </c>
      <c r="C901" s="138" t="s">
        <v>1617</v>
      </c>
      <c r="D901" s="144">
        <v>0</v>
      </c>
      <c r="E901" s="144">
        <v>0</v>
      </c>
      <c r="F901" s="144">
        <v>0</v>
      </c>
      <c r="G901" s="291">
        <v>0</v>
      </c>
      <c r="H901" s="150">
        <v>0</v>
      </c>
      <c r="I901" s="567">
        <f t="shared" si="24"/>
        <v>0</v>
      </c>
    </row>
    <row r="902" spans="1:9" x14ac:dyDescent="0.15">
      <c r="A902" s="138"/>
      <c r="B902" s="521" t="s">
        <v>1618</v>
      </c>
      <c r="C902" s="138" t="s">
        <v>836</v>
      </c>
      <c r="D902" s="144">
        <v>0</v>
      </c>
      <c r="E902" s="144">
        <v>0</v>
      </c>
      <c r="F902" s="144">
        <v>0</v>
      </c>
      <c r="G902" s="291">
        <v>0</v>
      </c>
      <c r="H902" s="150">
        <v>0</v>
      </c>
      <c r="I902" s="567">
        <f t="shared" si="24"/>
        <v>0</v>
      </c>
    </row>
    <row r="903" spans="1:9" x14ac:dyDescent="0.15">
      <c r="A903" s="138"/>
      <c r="B903" s="521" t="s">
        <v>1619</v>
      </c>
      <c r="C903" s="138" t="s">
        <v>837</v>
      </c>
      <c r="D903" s="144">
        <v>0</v>
      </c>
      <c r="E903" s="144">
        <v>0</v>
      </c>
      <c r="F903" s="144">
        <v>0</v>
      </c>
      <c r="G903" s="291">
        <v>0</v>
      </c>
      <c r="H903" s="150">
        <v>0</v>
      </c>
      <c r="I903" s="567">
        <f t="shared" si="24"/>
        <v>0</v>
      </c>
    </row>
    <row r="904" spans="1:9" x14ac:dyDescent="0.15">
      <c r="A904" s="138"/>
      <c r="B904" s="521" t="s">
        <v>1620</v>
      </c>
      <c r="C904" s="138" t="s">
        <v>838</v>
      </c>
      <c r="D904" s="144">
        <v>0</v>
      </c>
      <c r="E904" s="144">
        <v>0</v>
      </c>
      <c r="F904" s="144">
        <v>0</v>
      </c>
      <c r="G904" s="291">
        <v>0</v>
      </c>
      <c r="H904" s="150">
        <v>0</v>
      </c>
      <c r="I904" s="567">
        <f t="shared" si="24"/>
        <v>0</v>
      </c>
    </row>
    <row r="905" spans="1:9" x14ac:dyDescent="0.15">
      <c r="A905" s="138"/>
      <c r="B905" s="521" t="s">
        <v>1621</v>
      </c>
      <c r="C905" s="138" t="s">
        <v>839</v>
      </c>
      <c r="D905" s="144">
        <v>0</v>
      </c>
      <c r="E905" s="144">
        <v>0</v>
      </c>
      <c r="F905" s="144">
        <v>0</v>
      </c>
      <c r="G905" s="291">
        <v>0</v>
      </c>
      <c r="H905" s="150">
        <v>0</v>
      </c>
      <c r="I905" s="567">
        <f t="shared" si="24"/>
        <v>0</v>
      </c>
    </row>
    <row r="906" spans="1:9" x14ac:dyDescent="0.15">
      <c r="A906" s="138"/>
      <c r="B906" s="521" t="s">
        <v>1622</v>
      </c>
      <c r="C906" s="138" t="s">
        <v>190</v>
      </c>
      <c r="D906" s="144">
        <v>0</v>
      </c>
      <c r="E906" s="144">
        <v>0</v>
      </c>
      <c r="F906" s="144">
        <v>0</v>
      </c>
      <c r="G906" s="291">
        <v>0</v>
      </c>
      <c r="H906" s="150">
        <v>0</v>
      </c>
      <c r="I906" s="567">
        <f t="shared" si="24"/>
        <v>0</v>
      </c>
    </row>
    <row r="907" spans="1:9" x14ac:dyDescent="0.15">
      <c r="A907" s="138"/>
      <c r="B907" s="521" t="s">
        <v>1623</v>
      </c>
      <c r="C907" s="138" t="s">
        <v>191</v>
      </c>
      <c r="D907" s="144">
        <v>0</v>
      </c>
      <c r="E907" s="144">
        <v>0</v>
      </c>
      <c r="F907" s="144">
        <v>0</v>
      </c>
      <c r="G907" s="291">
        <v>0</v>
      </c>
      <c r="H907" s="150">
        <v>0</v>
      </c>
      <c r="I907" s="567">
        <f t="shared" si="24"/>
        <v>0</v>
      </c>
    </row>
    <row r="908" spans="1:9" x14ac:dyDescent="0.15">
      <c r="A908" s="138"/>
      <c r="B908" s="521" t="s">
        <v>1624</v>
      </c>
      <c r="C908" s="138" t="s">
        <v>840</v>
      </c>
      <c r="D908" s="144">
        <v>0</v>
      </c>
      <c r="E908" s="144">
        <v>0</v>
      </c>
      <c r="F908" s="144">
        <v>0</v>
      </c>
      <c r="G908" s="291">
        <v>0</v>
      </c>
      <c r="H908" s="150">
        <v>0</v>
      </c>
      <c r="I908" s="567">
        <f t="shared" si="24"/>
        <v>0</v>
      </c>
    </row>
    <row r="909" spans="1:9" x14ac:dyDescent="0.15">
      <c r="A909" s="138"/>
      <c r="B909" s="521" t="s">
        <v>1625</v>
      </c>
      <c r="C909" s="138" t="s">
        <v>842</v>
      </c>
      <c r="D909" s="144">
        <v>0</v>
      </c>
      <c r="E909" s="144">
        <v>0</v>
      </c>
      <c r="F909" s="144">
        <v>0</v>
      </c>
      <c r="G909" s="291">
        <v>0</v>
      </c>
      <c r="H909" s="150">
        <v>0</v>
      </c>
      <c r="I909" s="567">
        <f t="shared" si="24"/>
        <v>0</v>
      </c>
    </row>
    <row r="910" spans="1:9" x14ac:dyDescent="0.15">
      <c r="A910" s="138"/>
      <c r="B910" s="521" t="s">
        <v>843</v>
      </c>
      <c r="C910" s="138" t="s">
        <v>848</v>
      </c>
      <c r="D910" s="144">
        <v>0</v>
      </c>
      <c r="E910" s="144">
        <v>0</v>
      </c>
      <c r="F910" s="144">
        <v>0</v>
      </c>
      <c r="G910" s="291">
        <v>0</v>
      </c>
      <c r="H910" s="150">
        <v>0</v>
      </c>
      <c r="I910" s="567">
        <f t="shared" si="24"/>
        <v>0</v>
      </c>
    </row>
    <row r="911" spans="1:9" x14ac:dyDescent="0.15">
      <c r="A911" s="138"/>
      <c r="B911" s="521" t="s">
        <v>844</v>
      </c>
      <c r="C911" s="138" t="s">
        <v>153</v>
      </c>
      <c r="D911" s="144">
        <v>0</v>
      </c>
      <c r="E911" s="144">
        <v>0</v>
      </c>
      <c r="F911" s="144">
        <v>0</v>
      </c>
      <c r="G911" s="291">
        <v>0</v>
      </c>
      <c r="H911" s="150">
        <v>0</v>
      </c>
      <c r="I911" s="567">
        <f t="shared" si="24"/>
        <v>0</v>
      </c>
    </row>
    <row r="912" spans="1:9" x14ac:dyDescent="0.15">
      <c r="A912" s="138"/>
      <c r="B912" s="521" t="s">
        <v>845</v>
      </c>
      <c r="C912" s="138" t="s">
        <v>154</v>
      </c>
      <c r="D912" s="144">
        <v>0</v>
      </c>
      <c r="E912" s="144">
        <v>0</v>
      </c>
      <c r="F912" s="144">
        <v>0</v>
      </c>
      <c r="G912" s="291">
        <v>0</v>
      </c>
      <c r="H912" s="150">
        <v>0</v>
      </c>
      <c r="I912" s="567">
        <f t="shared" si="24"/>
        <v>0</v>
      </c>
    </row>
    <row r="913" spans="1:9" x14ac:dyDescent="0.15">
      <c r="A913" s="138"/>
      <c r="B913" s="521" t="s">
        <v>846</v>
      </c>
      <c r="C913" s="138" t="s">
        <v>155</v>
      </c>
      <c r="D913" s="144">
        <v>0</v>
      </c>
      <c r="E913" s="144">
        <v>0</v>
      </c>
      <c r="F913" s="144">
        <v>0</v>
      </c>
      <c r="G913" s="291">
        <v>0</v>
      </c>
      <c r="H913" s="150">
        <v>0</v>
      </c>
      <c r="I913" s="567">
        <f t="shared" si="24"/>
        <v>0</v>
      </c>
    </row>
    <row r="914" spans="1:9" x14ac:dyDescent="0.15">
      <c r="A914" s="138"/>
      <c r="B914" s="521" t="s">
        <v>1582</v>
      </c>
      <c r="C914" s="138" t="s">
        <v>156</v>
      </c>
      <c r="D914" s="144">
        <v>0</v>
      </c>
      <c r="E914" s="144">
        <v>0</v>
      </c>
      <c r="F914" s="144">
        <v>0</v>
      </c>
      <c r="G914" s="291">
        <v>0</v>
      </c>
      <c r="H914" s="150">
        <v>0</v>
      </c>
      <c r="I914" s="567">
        <f t="shared" si="24"/>
        <v>0</v>
      </c>
    </row>
    <row r="915" spans="1:9" x14ac:dyDescent="0.15">
      <c r="A915" s="138"/>
      <c r="B915" s="521" t="s">
        <v>847</v>
      </c>
      <c r="C915" s="138" t="s">
        <v>157</v>
      </c>
      <c r="D915" s="144">
        <v>0</v>
      </c>
      <c r="E915" s="144">
        <v>0</v>
      </c>
      <c r="F915" s="144">
        <v>0</v>
      </c>
      <c r="G915" s="291">
        <v>0</v>
      </c>
      <c r="H915" s="150">
        <v>0</v>
      </c>
      <c r="I915" s="567">
        <f t="shared" si="24"/>
        <v>0</v>
      </c>
    </row>
    <row r="916" spans="1:9" x14ac:dyDescent="0.15">
      <c r="A916" s="138"/>
      <c r="B916" s="521" t="s">
        <v>1583</v>
      </c>
      <c r="C916" s="138" t="s">
        <v>160</v>
      </c>
      <c r="D916" s="144">
        <v>0</v>
      </c>
      <c r="E916" s="144">
        <v>0</v>
      </c>
      <c r="F916" s="144">
        <v>0</v>
      </c>
      <c r="G916" s="291">
        <v>0</v>
      </c>
      <c r="H916" s="150">
        <v>0</v>
      </c>
      <c r="I916" s="567">
        <f t="shared" si="24"/>
        <v>0</v>
      </c>
    </row>
    <row r="917" spans="1:9" x14ac:dyDescent="0.15">
      <c r="A917" s="138"/>
      <c r="B917" s="521" t="s">
        <v>634</v>
      </c>
      <c r="C917" s="138" t="s">
        <v>165</v>
      </c>
      <c r="D917" s="144">
        <v>0</v>
      </c>
      <c r="E917" s="144">
        <v>0</v>
      </c>
      <c r="F917" s="144">
        <v>0</v>
      </c>
      <c r="G917" s="291">
        <v>0</v>
      </c>
      <c r="H917" s="150">
        <v>0</v>
      </c>
      <c r="I917" s="567">
        <f t="shared" si="24"/>
        <v>0</v>
      </c>
    </row>
    <row r="918" spans="1:9" x14ac:dyDescent="0.15">
      <c r="A918" s="138"/>
      <c r="B918" s="521" t="s">
        <v>630</v>
      </c>
      <c r="C918" s="138" t="s">
        <v>172</v>
      </c>
      <c r="D918" s="144">
        <v>0</v>
      </c>
      <c r="E918" s="144">
        <v>0</v>
      </c>
      <c r="F918" s="144">
        <v>0</v>
      </c>
      <c r="G918" s="291">
        <v>0</v>
      </c>
      <c r="H918" s="150">
        <v>0</v>
      </c>
      <c r="I918" s="567">
        <f t="shared" si="24"/>
        <v>0</v>
      </c>
    </row>
    <row r="919" spans="1:9" x14ac:dyDescent="0.15">
      <c r="A919" s="138"/>
      <c r="B919" s="650" t="s">
        <v>631</v>
      </c>
      <c r="C919" s="651" t="s">
        <v>173</v>
      </c>
      <c r="D919" s="144">
        <v>0</v>
      </c>
      <c r="E919" s="144">
        <v>0</v>
      </c>
      <c r="F919" s="144">
        <v>0</v>
      </c>
      <c r="G919" s="291">
        <v>0</v>
      </c>
      <c r="H919" s="150">
        <v>0</v>
      </c>
      <c r="I919" s="567">
        <f t="shared" si="24"/>
        <v>0</v>
      </c>
    </row>
    <row r="920" spans="1:9" x14ac:dyDescent="0.15">
      <c r="A920" s="138"/>
      <c r="B920" s="521" t="s">
        <v>1584</v>
      </c>
      <c r="C920" s="138" t="s">
        <v>178</v>
      </c>
      <c r="D920" s="144">
        <v>0</v>
      </c>
      <c r="E920" s="144">
        <v>0</v>
      </c>
      <c r="F920" s="144">
        <v>0</v>
      </c>
      <c r="G920" s="291">
        <v>0</v>
      </c>
      <c r="H920" s="150">
        <v>0</v>
      </c>
      <c r="I920" s="567">
        <f t="shared" si="24"/>
        <v>0</v>
      </c>
    </row>
    <row r="921" spans="1:9" x14ac:dyDescent="0.15">
      <c r="A921" s="138"/>
      <c r="B921" s="521" t="s">
        <v>174</v>
      </c>
      <c r="C921" s="138" t="s">
        <v>179</v>
      </c>
      <c r="D921" s="144">
        <v>0</v>
      </c>
      <c r="E921" s="144">
        <v>0</v>
      </c>
      <c r="F921" s="144">
        <v>0</v>
      </c>
      <c r="G921" s="291">
        <v>0</v>
      </c>
      <c r="H921" s="150">
        <v>0</v>
      </c>
      <c r="I921" s="567">
        <f t="shared" si="24"/>
        <v>0</v>
      </c>
    </row>
    <row r="922" spans="1:9" x14ac:dyDescent="0.15">
      <c r="A922" s="138"/>
      <c r="B922" s="521" t="s">
        <v>175</v>
      </c>
      <c r="C922" s="138" t="s">
        <v>180</v>
      </c>
      <c r="D922" s="144">
        <v>0</v>
      </c>
      <c r="E922" s="144">
        <v>0</v>
      </c>
      <c r="F922" s="144">
        <v>0</v>
      </c>
      <c r="G922" s="291">
        <v>0</v>
      </c>
      <c r="H922" s="150">
        <v>0</v>
      </c>
      <c r="I922" s="567">
        <f t="shared" si="24"/>
        <v>0</v>
      </c>
    </row>
    <row r="923" spans="1:9" ht="11.25" thickBot="1" x14ac:dyDescent="0.2">
      <c r="A923" s="138"/>
      <c r="B923" s="521" t="s">
        <v>176</v>
      </c>
      <c r="C923" s="138" t="s">
        <v>181</v>
      </c>
      <c r="D923" s="144">
        <v>0</v>
      </c>
      <c r="E923" s="144">
        <v>0</v>
      </c>
      <c r="F923" s="144">
        <v>0</v>
      </c>
      <c r="G923" s="291">
        <v>0</v>
      </c>
      <c r="H923" s="150">
        <v>0</v>
      </c>
      <c r="I923" s="567">
        <f t="shared" si="24"/>
        <v>0</v>
      </c>
    </row>
    <row r="924" spans="1:9" ht="12" thickTop="1" thickBot="1" x14ac:dyDescent="0.2">
      <c r="A924" s="138"/>
      <c r="B924" s="521"/>
      <c r="C924" s="138" t="s">
        <v>383</v>
      </c>
      <c r="D924" s="169">
        <f>SUM(D890:D923)</f>
        <v>0</v>
      </c>
      <c r="E924" s="169">
        <f>SUM(E890:E923)</f>
        <v>0</v>
      </c>
      <c r="F924" s="169">
        <f>SUM(F890:F923)</f>
        <v>0</v>
      </c>
      <c r="G924" s="169">
        <f>SUM(G890:G923)</f>
        <v>0</v>
      </c>
      <c r="H924" s="169">
        <f>SUM(H890:H923)</f>
        <v>0</v>
      </c>
      <c r="I924" s="169">
        <f t="shared" si="24"/>
        <v>0</v>
      </c>
    </row>
    <row r="925" spans="1:9" ht="11.25" thickTop="1" x14ac:dyDescent="0.15">
      <c r="A925" s="138"/>
      <c r="B925" s="138"/>
      <c r="C925" s="138"/>
      <c r="D925" s="14"/>
      <c r="E925" s="14"/>
      <c r="F925" s="14"/>
      <c r="G925" s="14"/>
      <c r="H925" s="14"/>
      <c r="I925" s="563"/>
    </row>
    <row r="926" spans="1:9" x14ac:dyDescent="0.15">
      <c r="A926" s="522" t="s">
        <v>384</v>
      </c>
      <c r="B926" s="138"/>
      <c r="C926" s="138"/>
      <c r="D926" s="14"/>
      <c r="E926" s="14"/>
      <c r="F926" s="14"/>
      <c r="G926" s="14"/>
      <c r="H926" s="14"/>
      <c r="I926" s="563"/>
    </row>
    <row r="927" spans="1:9" s="434" customFormat="1" x14ac:dyDescent="0.15">
      <c r="B927" s="523" t="s">
        <v>1577</v>
      </c>
      <c r="C927" s="524" t="s">
        <v>228</v>
      </c>
      <c r="D927" s="316">
        <v>0</v>
      </c>
      <c r="E927" s="316">
        <v>0</v>
      </c>
      <c r="F927" s="316">
        <v>0</v>
      </c>
      <c r="G927" s="528">
        <f t="array" ref="G927">SUM(IF(CertFund&amp;CertProg&amp;CertObj=RIGHT(LEFT($A$2,7),2)&amp;LEFT(A926,4)&amp;B927,CertSalary))</f>
        <v>0</v>
      </c>
      <c r="H927" s="527">
        <v>0</v>
      </c>
      <c r="I927" s="566">
        <f t="shared" ref="I927:I960" si="25">SUM(G927+H927)</f>
        <v>0</v>
      </c>
    </row>
    <row r="928" spans="1:9" s="434" customFormat="1" x14ac:dyDescent="0.15">
      <c r="B928" s="523" t="s">
        <v>1577</v>
      </c>
      <c r="C928" s="524" t="s">
        <v>510</v>
      </c>
      <c r="D928" s="316">
        <v>0</v>
      </c>
      <c r="E928" s="316">
        <v>0</v>
      </c>
      <c r="F928" s="316">
        <v>0</v>
      </c>
      <c r="G928" s="316">
        <v>0</v>
      </c>
      <c r="H928" s="527">
        <v>0</v>
      </c>
      <c r="I928" s="566">
        <f t="shared" si="25"/>
        <v>0</v>
      </c>
    </row>
    <row r="929" spans="1:10" s="434" customFormat="1" x14ac:dyDescent="0.15">
      <c r="A929" s="524"/>
      <c r="B929" s="523" t="s">
        <v>1578</v>
      </c>
      <c r="C929" s="524" t="s">
        <v>936</v>
      </c>
      <c r="D929" s="316">
        <v>0</v>
      </c>
      <c r="E929" s="316">
        <v>0</v>
      </c>
      <c r="F929" s="316">
        <v>0</v>
      </c>
      <c r="G929" s="529">
        <f t="array" ref="G929">SUM(IF(CertFund&amp;CertProg&amp;CertObj=RIGHT(LEFT($A$2,7),2)&amp;LEFT(A926,4)&amp;B927,CertBen))</f>
        <v>0</v>
      </c>
      <c r="H929" s="527">
        <v>0</v>
      </c>
      <c r="I929" s="566">
        <f t="shared" si="25"/>
        <v>0</v>
      </c>
    </row>
    <row r="930" spans="1:10" x14ac:dyDescent="0.15">
      <c r="A930" s="138"/>
      <c r="B930" s="521" t="s">
        <v>1578</v>
      </c>
      <c r="C930" s="138" t="s">
        <v>511</v>
      </c>
      <c r="D930" s="147">
        <v>0</v>
      </c>
      <c r="E930" s="147">
        <v>0</v>
      </c>
      <c r="F930" s="147">
        <v>0</v>
      </c>
      <c r="G930" s="147">
        <v>0</v>
      </c>
      <c r="H930" s="150">
        <v>0</v>
      </c>
      <c r="I930" s="567">
        <f t="shared" si="25"/>
        <v>0</v>
      </c>
      <c r="J930" s="434"/>
    </row>
    <row r="931" spans="1:10" x14ac:dyDescent="0.15">
      <c r="A931" s="138"/>
      <c r="B931" s="521" t="s">
        <v>1579</v>
      </c>
      <c r="C931" s="138" t="s">
        <v>118</v>
      </c>
      <c r="D931" s="144">
        <v>0</v>
      </c>
      <c r="E931" s="144">
        <v>0</v>
      </c>
      <c r="F931" s="144">
        <v>0</v>
      </c>
      <c r="G931" s="291">
        <v>0</v>
      </c>
      <c r="H931" s="150">
        <v>0</v>
      </c>
      <c r="I931" s="567">
        <f t="shared" si="25"/>
        <v>0</v>
      </c>
    </row>
    <row r="932" spans="1:10" x14ac:dyDescent="0.15">
      <c r="A932" s="138"/>
      <c r="B932" s="521" t="s">
        <v>1580</v>
      </c>
      <c r="C932" s="138" t="s">
        <v>119</v>
      </c>
      <c r="D932" s="144">
        <v>0</v>
      </c>
      <c r="E932" s="144">
        <v>0</v>
      </c>
      <c r="F932" s="144">
        <v>0</v>
      </c>
      <c r="G932" s="291">
        <v>0</v>
      </c>
      <c r="H932" s="150">
        <v>0</v>
      </c>
      <c r="I932" s="567">
        <f t="shared" si="25"/>
        <v>0</v>
      </c>
    </row>
    <row r="933" spans="1:10" x14ac:dyDescent="0.15">
      <c r="A933" s="138"/>
      <c r="B933" s="521" t="s">
        <v>120</v>
      </c>
      <c r="C933" s="138" t="s">
        <v>121</v>
      </c>
      <c r="D933" s="144">
        <v>0</v>
      </c>
      <c r="E933" s="144">
        <v>0</v>
      </c>
      <c r="F933" s="144">
        <v>0</v>
      </c>
      <c r="G933" s="291">
        <v>0</v>
      </c>
      <c r="H933" s="150">
        <v>0</v>
      </c>
      <c r="I933" s="567">
        <f t="shared" si="25"/>
        <v>0</v>
      </c>
    </row>
    <row r="934" spans="1:10" x14ac:dyDescent="0.15">
      <c r="A934" s="138"/>
      <c r="B934" s="521" t="s">
        <v>122</v>
      </c>
      <c r="C934" s="138" t="s">
        <v>123</v>
      </c>
      <c r="D934" s="144">
        <v>0</v>
      </c>
      <c r="E934" s="144">
        <v>0</v>
      </c>
      <c r="F934" s="144">
        <v>0</v>
      </c>
      <c r="G934" s="291">
        <v>0</v>
      </c>
      <c r="H934" s="150">
        <v>0</v>
      </c>
      <c r="I934" s="567">
        <f t="shared" si="25"/>
        <v>0</v>
      </c>
    </row>
    <row r="935" spans="1:10" x14ac:dyDescent="0.15">
      <c r="A935" s="138"/>
      <c r="B935" s="521" t="s">
        <v>1581</v>
      </c>
      <c r="C935" s="138" t="s">
        <v>124</v>
      </c>
      <c r="D935" s="144">
        <v>0</v>
      </c>
      <c r="E935" s="144">
        <v>0</v>
      </c>
      <c r="F935" s="144">
        <v>0</v>
      </c>
      <c r="G935" s="291">
        <v>0</v>
      </c>
      <c r="H935" s="150">
        <v>0</v>
      </c>
      <c r="I935" s="567">
        <f t="shared" si="25"/>
        <v>0</v>
      </c>
    </row>
    <row r="936" spans="1:10" x14ac:dyDescent="0.15">
      <c r="A936" s="138"/>
      <c r="B936" s="521" t="s">
        <v>127</v>
      </c>
      <c r="C936" s="138" t="s">
        <v>134</v>
      </c>
      <c r="D936" s="144">
        <v>0</v>
      </c>
      <c r="E936" s="144">
        <v>0</v>
      </c>
      <c r="F936" s="144">
        <v>0</v>
      </c>
      <c r="G936" s="291">
        <v>0</v>
      </c>
      <c r="H936" s="150">
        <v>0</v>
      </c>
      <c r="I936" s="567">
        <f t="shared" si="25"/>
        <v>0</v>
      </c>
    </row>
    <row r="937" spans="1:10" x14ac:dyDescent="0.15">
      <c r="A937" s="138"/>
      <c r="B937" s="521" t="s">
        <v>128</v>
      </c>
      <c r="C937" s="138" t="s">
        <v>135</v>
      </c>
      <c r="D937" s="144">
        <v>0</v>
      </c>
      <c r="E937" s="144">
        <v>0</v>
      </c>
      <c r="F937" s="144">
        <v>0</v>
      </c>
      <c r="G937" s="291">
        <v>0</v>
      </c>
      <c r="H937" s="150">
        <v>0</v>
      </c>
      <c r="I937" s="567">
        <f t="shared" si="25"/>
        <v>0</v>
      </c>
    </row>
    <row r="938" spans="1:10" x14ac:dyDescent="0.15">
      <c r="A938" s="138"/>
      <c r="B938" s="521" t="s">
        <v>132</v>
      </c>
      <c r="C938" s="138" t="s">
        <v>1617</v>
      </c>
      <c r="D938" s="144">
        <v>0</v>
      </c>
      <c r="E938" s="144">
        <v>0</v>
      </c>
      <c r="F938" s="144">
        <v>0</v>
      </c>
      <c r="G938" s="291">
        <v>0</v>
      </c>
      <c r="H938" s="150">
        <v>0</v>
      </c>
      <c r="I938" s="567">
        <f t="shared" si="25"/>
        <v>0</v>
      </c>
    </row>
    <row r="939" spans="1:10" x14ac:dyDescent="0.15">
      <c r="A939" s="138"/>
      <c r="B939" s="521" t="s">
        <v>1618</v>
      </c>
      <c r="C939" s="138" t="s">
        <v>836</v>
      </c>
      <c r="D939" s="144">
        <v>0</v>
      </c>
      <c r="E939" s="144">
        <v>0</v>
      </c>
      <c r="F939" s="144">
        <v>0</v>
      </c>
      <c r="G939" s="291">
        <v>0</v>
      </c>
      <c r="H939" s="150">
        <v>0</v>
      </c>
      <c r="I939" s="567">
        <f t="shared" si="25"/>
        <v>0</v>
      </c>
    </row>
    <row r="940" spans="1:10" x14ac:dyDescent="0.15">
      <c r="A940" s="138"/>
      <c r="B940" s="521" t="s">
        <v>1619</v>
      </c>
      <c r="C940" s="138" t="s">
        <v>837</v>
      </c>
      <c r="D940" s="144">
        <v>0</v>
      </c>
      <c r="E940" s="144">
        <v>0</v>
      </c>
      <c r="F940" s="144">
        <v>0</v>
      </c>
      <c r="G940" s="291">
        <v>0</v>
      </c>
      <c r="H940" s="150">
        <v>0</v>
      </c>
      <c r="I940" s="567">
        <f t="shared" si="25"/>
        <v>0</v>
      </c>
    </row>
    <row r="941" spans="1:10" x14ac:dyDescent="0.15">
      <c r="A941" s="138"/>
      <c r="B941" s="521" t="s">
        <v>1620</v>
      </c>
      <c r="C941" s="138" t="s">
        <v>838</v>
      </c>
      <c r="D941" s="144">
        <v>0</v>
      </c>
      <c r="E941" s="144">
        <v>0</v>
      </c>
      <c r="F941" s="144">
        <v>0</v>
      </c>
      <c r="G941" s="291">
        <v>0</v>
      </c>
      <c r="H941" s="150">
        <v>0</v>
      </c>
      <c r="I941" s="567">
        <f t="shared" si="25"/>
        <v>0</v>
      </c>
    </row>
    <row r="942" spans="1:10" x14ac:dyDescent="0.15">
      <c r="A942" s="138"/>
      <c r="B942" s="521" t="s">
        <v>1621</v>
      </c>
      <c r="C942" s="138" t="s">
        <v>839</v>
      </c>
      <c r="D942" s="144">
        <v>0</v>
      </c>
      <c r="E942" s="144">
        <v>0</v>
      </c>
      <c r="F942" s="144">
        <v>0</v>
      </c>
      <c r="G942" s="291">
        <v>0</v>
      </c>
      <c r="H942" s="150">
        <v>0</v>
      </c>
      <c r="I942" s="567">
        <f t="shared" si="25"/>
        <v>0</v>
      </c>
    </row>
    <row r="943" spans="1:10" x14ac:dyDescent="0.15">
      <c r="A943" s="138"/>
      <c r="B943" s="521" t="s">
        <v>1622</v>
      </c>
      <c r="C943" s="138" t="s">
        <v>190</v>
      </c>
      <c r="D943" s="144">
        <v>0</v>
      </c>
      <c r="E943" s="144">
        <v>0</v>
      </c>
      <c r="F943" s="144">
        <v>0</v>
      </c>
      <c r="G943" s="291">
        <v>0</v>
      </c>
      <c r="H943" s="150">
        <v>0</v>
      </c>
      <c r="I943" s="567">
        <f t="shared" si="25"/>
        <v>0</v>
      </c>
    </row>
    <row r="944" spans="1:10" x14ac:dyDescent="0.15">
      <c r="A944" s="138"/>
      <c r="B944" s="521" t="s">
        <v>1623</v>
      </c>
      <c r="C944" s="138" t="s">
        <v>191</v>
      </c>
      <c r="D944" s="144">
        <v>0</v>
      </c>
      <c r="E944" s="144">
        <v>0</v>
      </c>
      <c r="F944" s="144">
        <v>0</v>
      </c>
      <c r="G944" s="291">
        <v>0</v>
      </c>
      <c r="H944" s="150">
        <v>0</v>
      </c>
      <c r="I944" s="567">
        <f t="shared" si="25"/>
        <v>0</v>
      </c>
    </row>
    <row r="945" spans="1:9" x14ac:dyDescent="0.15">
      <c r="A945" s="138"/>
      <c r="B945" s="521" t="s">
        <v>1624</v>
      </c>
      <c r="C945" s="138" t="s">
        <v>840</v>
      </c>
      <c r="D945" s="144">
        <v>0</v>
      </c>
      <c r="E945" s="144">
        <v>0</v>
      </c>
      <c r="F945" s="144">
        <v>0</v>
      </c>
      <c r="G945" s="291">
        <v>0</v>
      </c>
      <c r="H945" s="150">
        <v>0</v>
      </c>
      <c r="I945" s="567">
        <f t="shared" si="25"/>
        <v>0</v>
      </c>
    </row>
    <row r="946" spans="1:9" x14ac:dyDescent="0.15">
      <c r="A946" s="138"/>
      <c r="B946" s="521" t="s">
        <v>1625</v>
      </c>
      <c r="C946" s="138" t="s">
        <v>842</v>
      </c>
      <c r="D946" s="144">
        <v>0</v>
      </c>
      <c r="E946" s="144">
        <v>0</v>
      </c>
      <c r="F946" s="144">
        <v>0</v>
      </c>
      <c r="G946" s="291">
        <v>0</v>
      </c>
      <c r="H946" s="150">
        <v>0</v>
      </c>
      <c r="I946" s="567">
        <f t="shared" si="25"/>
        <v>0</v>
      </c>
    </row>
    <row r="947" spans="1:9" x14ac:dyDescent="0.15">
      <c r="A947" s="138"/>
      <c r="B947" s="521" t="s">
        <v>843</v>
      </c>
      <c r="C947" s="138" t="s">
        <v>848</v>
      </c>
      <c r="D947" s="144">
        <v>0</v>
      </c>
      <c r="E947" s="144">
        <v>0</v>
      </c>
      <c r="F947" s="144">
        <v>0</v>
      </c>
      <c r="G947" s="291">
        <v>0</v>
      </c>
      <c r="H947" s="150">
        <v>0</v>
      </c>
      <c r="I947" s="567">
        <f t="shared" si="25"/>
        <v>0</v>
      </c>
    </row>
    <row r="948" spans="1:9" x14ac:dyDescent="0.15">
      <c r="A948" s="138"/>
      <c r="B948" s="521" t="s">
        <v>844</v>
      </c>
      <c r="C948" s="138" t="s">
        <v>153</v>
      </c>
      <c r="D948" s="144">
        <v>0</v>
      </c>
      <c r="E948" s="144">
        <v>0</v>
      </c>
      <c r="F948" s="144">
        <v>0</v>
      </c>
      <c r="G948" s="291">
        <v>0</v>
      </c>
      <c r="H948" s="150">
        <v>0</v>
      </c>
      <c r="I948" s="567">
        <f t="shared" si="25"/>
        <v>0</v>
      </c>
    </row>
    <row r="949" spans="1:9" x14ac:dyDescent="0.15">
      <c r="A949" s="138"/>
      <c r="B949" s="521" t="s">
        <v>845</v>
      </c>
      <c r="C949" s="138" t="s">
        <v>154</v>
      </c>
      <c r="D949" s="144">
        <v>0</v>
      </c>
      <c r="E949" s="144">
        <v>0</v>
      </c>
      <c r="F949" s="144">
        <v>0</v>
      </c>
      <c r="G949" s="291">
        <v>0</v>
      </c>
      <c r="H949" s="150">
        <v>0</v>
      </c>
      <c r="I949" s="567">
        <f t="shared" si="25"/>
        <v>0</v>
      </c>
    </row>
    <row r="950" spans="1:9" x14ac:dyDescent="0.15">
      <c r="A950" s="138"/>
      <c r="B950" s="521" t="s">
        <v>846</v>
      </c>
      <c r="C950" s="138" t="s">
        <v>155</v>
      </c>
      <c r="D950" s="144">
        <v>0</v>
      </c>
      <c r="E950" s="144">
        <v>0</v>
      </c>
      <c r="F950" s="144">
        <v>0</v>
      </c>
      <c r="G950" s="291">
        <v>0</v>
      </c>
      <c r="H950" s="150">
        <v>0</v>
      </c>
      <c r="I950" s="567">
        <f t="shared" si="25"/>
        <v>0</v>
      </c>
    </row>
    <row r="951" spans="1:9" x14ac:dyDescent="0.15">
      <c r="A951" s="138"/>
      <c r="B951" s="521" t="s">
        <v>1582</v>
      </c>
      <c r="C951" s="138" t="s">
        <v>156</v>
      </c>
      <c r="D951" s="144">
        <v>0</v>
      </c>
      <c r="E951" s="144">
        <v>0</v>
      </c>
      <c r="F951" s="144">
        <v>0</v>
      </c>
      <c r="G951" s="291">
        <v>0</v>
      </c>
      <c r="H951" s="150">
        <v>0</v>
      </c>
      <c r="I951" s="567">
        <f t="shared" si="25"/>
        <v>0</v>
      </c>
    </row>
    <row r="952" spans="1:9" x14ac:dyDescent="0.15">
      <c r="A952" s="138"/>
      <c r="B952" s="521" t="s">
        <v>847</v>
      </c>
      <c r="C952" s="138" t="s">
        <v>157</v>
      </c>
      <c r="D952" s="144">
        <v>0</v>
      </c>
      <c r="E952" s="144">
        <v>0</v>
      </c>
      <c r="F952" s="144">
        <v>0</v>
      </c>
      <c r="G952" s="291">
        <v>0</v>
      </c>
      <c r="H952" s="150">
        <v>0</v>
      </c>
      <c r="I952" s="567">
        <f t="shared" si="25"/>
        <v>0</v>
      </c>
    </row>
    <row r="953" spans="1:9" x14ac:dyDescent="0.15">
      <c r="A953" s="138"/>
      <c r="B953" s="521" t="s">
        <v>1583</v>
      </c>
      <c r="C953" s="138" t="s">
        <v>160</v>
      </c>
      <c r="D953" s="144">
        <v>0</v>
      </c>
      <c r="E953" s="144">
        <v>0</v>
      </c>
      <c r="F953" s="144">
        <v>0</v>
      </c>
      <c r="G953" s="291">
        <v>0</v>
      </c>
      <c r="H953" s="150">
        <v>0</v>
      </c>
      <c r="I953" s="567">
        <f t="shared" si="25"/>
        <v>0</v>
      </c>
    </row>
    <row r="954" spans="1:9" x14ac:dyDescent="0.15">
      <c r="A954" s="138"/>
      <c r="B954" s="521" t="s">
        <v>634</v>
      </c>
      <c r="C954" s="138" t="s">
        <v>165</v>
      </c>
      <c r="D954" s="144">
        <v>0</v>
      </c>
      <c r="E954" s="144">
        <v>0</v>
      </c>
      <c r="F954" s="144">
        <v>0</v>
      </c>
      <c r="G954" s="291">
        <v>0</v>
      </c>
      <c r="H954" s="150">
        <v>0</v>
      </c>
      <c r="I954" s="567">
        <f t="shared" si="25"/>
        <v>0</v>
      </c>
    </row>
    <row r="955" spans="1:9" x14ac:dyDescent="0.15">
      <c r="A955" s="138"/>
      <c r="B955" s="521" t="s">
        <v>630</v>
      </c>
      <c r="C955" s="138" t="s">
        <v>172</v>
      </c>
      <c r="D955" s="144">
        <v>0</v>
      </c>
      <c r="E955" s="144">
        <v>0</v>
      </c>
      <c r="F955" s="144">
        <v>0</v>
      </c>
      <c r="G955" s="291">
        <v>0</v>
      </c>
      <c r="H955" s="150">
        <v>0</v>
      </c>
      <c r="I955" s="567">
        <f t="shared" si="25"/>
        <v>0</v>
      </c>
    </row>
    <row r="956" spans="1:9" x14ac:dyDescent="0.15">
      <c r="A956" s="138"/>
      <c r="B956" s="650" t="s">
        <v>631</v>
      </c>
      <c r="C956" s="651" t="s">
        <v>173</v>
      </c>
      <c r="D956" s="144">
        <v>0</v>
      </c>
      <c r="E956" s="144">
        <v>0</v>
      </c>
      <c r="F956" s="144">
        <v>0</v>
      </c>
      <c r="G956" s="291">
        <v>0</v>
      </c>
      <c r="H956" s="150">
        <v>0</v>
      </c>
      <c r="I956" s="567">
        <f t="shared" si="25"/>
        <v>0</v>
      </c>
    </row>
    <row r="957" spans="1:9" x14ac:dyDescent="0.15">
      <c r="A957" s="138"/>
      <c r="B957" s="521" t="s">
        <v>1584</v>
      </c>
      <c r="C957" s="138" t="s">
        <v>178</v>
      </c>
      <c r="D957" s="144">
        <v>0</v>
      </c>
      <c r="E957" s="144">
        <v>0</v>
      </c>
      <c r="F957" s="144">
        <v>0</v>
      </c>
      <c r="G957" s="291">
        <v>0</v>
      </c>
      <c r="H957" s="150">
        <v>0</v>
      </c>
      <c r="I957" s="567">
        <f t="shared" si="25"/>
        <v>0</v>
      </c>
    </row>
    <row r="958" spans="1:9" x14ac:dyDescent="0.15">
      <c r="A958" s="138"/>
      <c r="B958" s="521" t="s">
        <v>174</v>
      </c>
      <c r="C958" s="138" t="s">
        <v>179</v>
      </c>
      <c r="D958" s="144">
        <v>0</v>
      </c>
      <c r="E958" s="144">
        <v>0</v>
      </c>
      <c r="F958" s="144">
        <v>0</v>
      </c>
      <c r="G958" s="291">
        <v>0</v>
      </c>
      <c r="H958" s="150">
        <v>0</v>
      </c>
      <c r="I958" s="567">
        <f t="shared" si="25"/>
        <v>0</v>
      </c>
    </row>
    <row r="959" spans="1:9" x14ac:dyDescent="0.15">
      <c r="A959" s="138"/>
      <c r="B959" s="521" t="s">
        <v>175</v>
      </c>
      <c r="C959" s="138" t="s">
        <v>180</v>
      </c>
      <c r="D959" s="144">
        <v>0</v>
      </c>
      <c r="E959" s="144">
        <v>0</v>
      </c>
      <c r="F959" s="144">
        <v>0</v>
      </c>
      <c r="G959" s="291">
        <v>0</v>
      </c>
      <c r="H959" s="150">
        <v>0</v>
      </c>
      <c r="I959" s="567">
        <f t="shared" si="25"/>
        <v>0</v>
      </c>
    </row>
    <row r="960" spans="1:9" ht="11.25" thickBot="1" x14ac:dyDescent="0.2">
      <c r="A960" s="138"/>
      <c r="B960" s="521" t="s">
        <v>176</v>
      </c>
      <c r="C960" s="138" t="s">
        <v>181</v>
      </c>
      <c r="D960" s="144">
        <v>0</v>
      </c>
      <c r="E960" s="144">
        <v>0</v>
      </c>
      <c r="F960" s="144">
        <v>0</v>
      </c>
      <c r="G960" s="291">
        <v>0</v>
      </c>
      <c r="H960" s="150">
        <v>0</v>
      </c>
      <c r="I960" s="567">
        <f t="shared" si="25"/>
        <v>0</v>
      </c>
    </row>
    <row r="961" spans="1:10" ht="12" thickTop="1" thickBot="1" x14ac:dyDescent="0.2">
      <c r="A961" s="138"/>
      <c r="B961" s="521"/>
      <c r="C961" s="138" t="s">
        <v>385</v>
      </c>
      <c r="D961" s="169">
        <f>SUM(D927:D960)</f>
        <v>0</v>
      </c>
      <c r="E961" s="169">
        <f>SUM(E927:E960)</f>
        <v>0</v>
      </c>
      <c r="F961" s="169">
        <f>SUM(F927:F960)</f>
        <v>0</v>
      </c>
      <c r="G961" s="169">
        <f>SUM(G927:G960)</f>
        <v>0</v>
      </c>
      <c r="H961" s="169">
        <f>SUM(H927:H960)</f>
        <v>0</v>
      </c>
      <c r="I961" s="169">
        <f>SUM(G961+H961)</f>
        <v>0</v>
      </c>
    </row>
    <row r="962" spans="1:10" ht="11.25" thickTop="1" x14ac:dyDescent="0.15">
      <c r="A962" s="138"/>
      <c r="B962" s="138"/>
      <c r="C962" s="138"/>
      <c r="D962" s="14"/>
      <c r="E962" s="14"/>
      <c r="F962" s="14"/>
      <c r="G962" s="14"/>
      <c r="H962" s="14"/>
      <c r="I962" s="563"/>
    </row>
    <row r="963" spans="1:10" x14ac:dyDescent="0.15">
      <c r="A963" s="522" t="s">
        <v>1513</v>
      </c>
      <c r="B963" s="138"/>
      <c r="C963" s="138"/>
      <c r="D963" s="14"/>
      <c r="E963" s="14"/>
      <c r="F963" s="14"/>
      <c r="G963" s="14"/>
      <c r="H963" s="14"/>
      <c r="I963" s="563"/>
    </row>
    <row r="964" spans="1:10" s="434" customFormat="1" x14ac:dyDescent="0.15">
      <c r="B964" s="523" t="s">
        <v>1577</v>
      </c>
      <c r="C964" s="524" t="s">
        <v>228</v>
      </c>
      <c r="D964" s="316">
        <v>0</v>
      </c>
      <c r="E964" s="316">
        <v>0</v>
      </c>
      <c r="F964" s="316">
        <v>0</v>
      </c>
      <c r="G964" s="528">
        <f t="array" ref="G964">SUM(IF(CertFund&amp;CertProg&amp;CertObj=RIGHT(LEFT($A$2,7),2)&amp;LEFT(A963,4)&amp;B964,CertSalary))</f>
        <v>0</v>
      </c>
      <c r="H964" s="527">
        <v>0</v>
      </c>
      <c r="I964" s="566">
        <f t="shared" ref="I964:I997" si="26">SUM(G964+H964)</f>
        <v>0</v>
      </c>
    </row>
    <row r="965" spans="1:10" s="434" customFormat="1" x14ac:dyDescent="0.15">
      <c r="B965" s="523" t="s">
        <v>1577</v>
      </c>
      <c r="C965" s="524" t="s">
        <v>510</v>
      </c>
      <c r="D965" s="316">
        <v>0</v>
      </c>
      <c r="E965" s="316">
        <v>0</v>
      </c>
      <c r="F965" s="316">
        <v>0</v>
      </c>
      <c r="G965" s="316">
        <v>0</v>
      </c>
      <c r="H965" s="527">
        <v>0</v>
      </c>
      <c r="I965" s="566">
        <f t="shared" si="26"/>
        <v>0</v>
      </c>
    </row>
    <row r="966" spans="1:10" s="434" customFormat="1" x14ac:dyDescent="0.15">
      <c r="A966" s="524"/>
      <c r="B966" s="523" t="s">
        <v>1578</v>
      </c>
      <c r="C966" s="524" t="s">
        <v>936</v>
      </c>
      <c r="D966" s="316">
        <v>0</v>
      </c>
      <c r="E966" s="316">
        <v>0</v>
      </c>
      <c r="F966" s="316">
        <v>0</v>
      </c>
      <c r="G966" s="529">
        <f t="array" ref="G966">SUM(IF(CertFund&amp;CertProg&amp;CertObj=RIGHT(LEFT($A$2,7),2)&amp;LEFT(A963,4)&amp;B964,CertBen))</f>
        <v>0</v>
      </c>
      <c r="H966" s="527">
        <v>0</v>
      </c>
      <c r="I966" s="566">
        <f t="shared" si="26"/>
        <v>0</v>
      </c>
    </row>
    <row r="967" spans="1:10" x14ac:dyDescent="0.15">
      <c r="A967" s="138"/>
      <c r="B967" s="521" t="s">
        <v>1578</v>
      </c>
      <c r="C967" s="138" t="s">
        <v>511</v>
      </c>
      <c r="D967" s="147">
        <v>0</v>
      </c>
      <c r="E967" s="147">
        <v>0</v>
      </c>
      <c r="F967" s="147">
        <v>0</v>
      </c>
      <c r="G967" s="147">
        <v>0</v>
      </c>
      <c r="H967" s="150">
        <v>0</v>
      </c>
      <c r="I967" s="567">
        <f t="shared" si="26"/>
        <v>0</v>
      </c>
      <c r="J967" s="434"/>
    </row>
    <row r="968" spans="1:10" x14ac:dyDescent="0.15">
      <c r="A968" s="138"/>
      <c r="B968" s="521" t="s">
        <v>1579</v>
      </c>
      <c r="C968" s="138" t="s">
        <v>118</v>
      </c>
      <c r="D968" s="144">
        <v>0</v>
      </c>
      <c r="E968" s="144">
        <v>0</v>
      </c>
      <c r="F968" s="144">
        <v>0</v>
      </c>
      <c r="G968" s="291">
        <v>0</v>
      </c>
      <c r="H968" s="150">
        <v>0</v>
      </c>
      <c r="I968" s="567">
        <f t="shared" si="26"/>
        <v>0</v>
      </c>
    </row>
    <row r="969" spans="1:10" x14ac:dyDescent="0.15">
      <c r="A969" s="138"/>
      <c r="B969" s="521" t="s">
        <v>1580</v>
      </c>
      <c r="C969" s="138" t="s">
        <v>119</v>
      </c>
      <c r="D969" s="144">
        <v>0</v>
      </c>
      <c r="E969" s="144">
        <v>0</v>
      </c>
      <c r="F969" s="144">
        <v>0</v>
      </c>
      <c r="G969" s="291">
        <v>0</v>
      </c>
      <c r="H969" s="150">
        <v>0</v>
      </c>
      <c r="I969" s="567">
        <f t="shared" si="26"/>
        <v>0</v>
      </c>
    </row>
    <row r="970" spans="1:10" x14ac:dyDescent="0.15">
      <c r="A970" s="138"/>
      <c r="B970" s="521" t="s">
        <v>120</v>
      </c>
      <c r="C970" s="138" t="s">
        <v>121</v>
      </c>
      <c r="D970" s="144">
        <v>0</v>
      </c>
      <c r="E970" s="144">
        <v>0</v>
      </c>
      <c r="F970" s="144">
        <v>0</v>
      </c>
      <c r="G970" s="291">
        <v>0</v>
      </c>
      <c r="H970" s="150">
        <v>0</v>
      </c>
      <c r="I970" s="567">
        <f t="shared" si="26"/>
        <v>0</v>
      </c>
    </row>
    <row r="971" spans="1:10" x14ac:dyDescent="0.15">
      <c r="A971" s="138"/>
      <c r="B971" s="521" t="s">
        <v>122</v>
      </c>
      <c r="C971" s="138" t="s">
        <v>123</v>
      </c>
      <c r="D971" s="144">
        <v>0</v>
      </c>
      <c r="E971" s="144">
        <v>0</v>
      </c>
      <c r="F971" s="144">
        <v>0</v>
      </c>
      <c r="G971" s="291">
        <v>0</v>
      </c>
      <c r="H971" s="150">
        <v>0</v>
      </c>
      <c r="I971" s="567">
        <f t="shared" si="26"/>
        <v>0</v>
      </c>
    </row>
    <row r="972" spans="1:10" x14ac:dyDescent="0.15">
      <c r="A972" s="138"/>
      <c r="B972" s="521" t="s">
        <v>1581</v>
      </c>
      <c r="C972" s="138" t="s">
        <v>124</v>
      </c>
      <c r="D972" s="144">
        <v>0</v>
      </c>
      <c r="E972" s="144">
        <v>0</v>
      </c>
      <c r="F972" s="144">
        <v>0</v>
      </c>
      <c r="G972" s="291">
        <v>0</v>
      </c>
      <c r="H972" s="150">
        <v>0</v>
      </c>
      <c r="I972" s="567">
        <f t="shared" si="26"/>
        <v>0</v>
      </c>
    </row>
    <row r="973" spans="1:10" x14ac:dyDescent="0.15">
      <c r="A973" s="138"/>
      <c r="B973" s="521" t="s">
        <v>127</v>
      </c>
      <c r="C973" s="138" t="s">
        <v>134</v>
      </c>
      <c r="D973" s="144">
        <v>0</v>
      </c>
      <c r="E973" s="144">
        <v>0</v>
      </c>
      <c r="F973" s="144">
        <v>0</v>
      </c>
      <c r="G973" s="291">
        <v>0</v>
      </c>
      <c r="H973" s="150">
        <v>0</v>
      </c>
      <c r="I973" s="567">
        <f t="shared" si="26"/>
        <v>0</v>
      </c>
    </row>
    <row r="974" spans="1:10" x14ac:dyDescent="0.15">
      <c r="A974" s="138"/>
      <c r="B974" s="521" t="s">
        <v>128</v>
      </c>
      <c r="C974" s="138" t="s">
        <v>135</v>
      </c>
      <c r="D974" s="144">
        <v>0</v>
      </c>
      <c r="E974" s="144">
        <v>0</v>
      </c>
      <c r="F974" s="144">
        <v>0</v>
      </c>
      <c r="G974" s="291">
        <v>0</v>
      </c>
      <c r="H974" s="150">
        <v>0</v>
      </c>
      <c r="I974" s="567">
        <f t="shared" si="26"/>
        <v>0</v>
      </c>
    </row>
    <row r="975" spans="1:10" x14ac:dyDescent="0.15">
      <c r="A975" s="138"/>
      <c r="B975" s="521" t="s">
        <v>132</v>
      </c>
      <c r="C975" s="138" t="s">
        <v>1617</v>
      </c>
      <c r="D975" s="144">
        <v>0</v>
      </c>
      <c r="E975" s="144">
        <v>0</v>
      </c>
      <c r="F975" s="144">
        <v>0</v>
      </c>
      <c r="G975" s="291">
        <v>0</v>
      </c>
      <c r="H975" s="150">
        <v>0</v>
      </c>
      <c r="I975" s="567">
        <f t="shared" si="26"/>
        <v>0</v>
      </c>
    </row>
    <row r="976" spans="1:10" x14ac:dyDescent="0.15">
      <c r="A976" s="138"/>
      <c r="B976" s="521" t="s">
        <v>1618</v>
      </c>
      <c r="C976" s="138" t="s">
        <v>836</v>
      </c>
      <c r="D976" s="144">
        <v>0</v>
      </c>
      <c r="E976" s="144">
        <v>0</v>
      </c>
      <c r="F976" s="144">
        <v>0</v>
      </c>
      <c r="G976" s="291">
        <v>0</v>
      </c>
      <c r="H976" s="150">
        <v>0</v>
      </c>
      <c r="I976" s="567">
        <f t="shared" si="26"/>
        <v>0</v>
      </c>
    </row>
    <row r="977" spans="1:9" x14ac:dyDescent="0.15">
      <c r="A977" s="138"/>
      <c r="B977" s="521" t="s">
        <v>1619</v>
      </c>
      <c r="C977" s="138" t="s">
        <v>837</v>
      </c>
      <c r="D977" s="144">
        <v>0</v>
      </c>
      <c r="E977" s="144">
        <v>0</v>
      </c>
      <c r="F977" s="144">
        <v>0</v>
      </c>
      <c r="G977" s="291">
        <v>0</v>
      </c>
      <c r="H977" s="150">
        <v>0</v>
      </c>
      <c r="I977" s="567">
        <f t="shared" si="26"/>
        <v>0</v>
      </c>
    </row>
    <row r="978" spans="1:9" x14ac:dyDescent="0.15">
      <c r="A978" s="138"/>
      <c r="B978" s="521" t="s">
        <v>1620</v>
      </c>
      <c r="C978" s="138" t="s">
        <v>838</v>
      </c>
      <c r="D978" s="144">
        <v>0</v>
      </c>
      <c r="E978" s="144">
        <v>0</v>
      </c>
      <c r="F978" s="144">
        <v>0</v>
      </c>
      <c r="G978" s="291">
        <v>0</v>
      </c>
      <c r="H978" s="150">
        <v>0</v>
      </c>
      <c r="I978" s="567">
        <f t="shared" si="26"/>
        <v>0</v>
      </c>
    </row>
    <row r="979" spans="1:9" x14ac:dyDescent="0.15">
      <c r="A979" s="138"/>
      <c r="B979" s="521" t="s">
        <v>1621</v>
      </c>
      <c r="C979" s="138" t="s">
        <v>839</v>
      </c>
      <c r="D979" s="144">
        <v>0</v>
      </c>
      <c r="E979" s="144">
        <v>0</v>
      </c>
      <c r="F979" s="144">
        <v>0</v>
      </c>
      <c r="G979" s="291">
        <v>0</v>
      </c>
      <c r="H979" s="150">
        <v>0</v>
      </c>
      <c r="I979" s="567">
        <f t="shared" si="26"/>
        <v>0</v>
      </c>
    </row>
    <row r="980" spans="1:9" x14ac:dyDescent="0.15">
      <c r="A980" s="138"/>
      <c r="B980" s="521" t="s">
        <v>1622</v>
      </c>
      <c r="C980" s="138" t="s">
        <v>190</v>
      </c>
      <c r="D980" s="144">
        <v>0</v>
      </c>
      <c r="E980" s="144">
        <v>0</v>
      </c>
      <c r="F980" s="144">
        <v>0</v>
      </c>
      <c r="G980" s="291">
        <v>0</v>
      </c>
      <c r="H980" s="150">
        <v>0</v>
      </c>
      <c r="I980" s="567">
        <f t="shared" si="26"/>
        <v>0</v>
      </c>
    </row>
    <row r="981" spans="1:9" x14ac:dyDescent="0.15">
      <c r="A981" s="138"/>
      <c r="B981" s="521" t="s">
        <v>1623</v>
      </c>
      <c r="C981" s="138" t="s">
        <v>191</v>
      </c>
      <c r="D981" s="144">
        <v>0</v>
      </c>
      <c r="E981" s="144">
        <v>0</v>
      </c>
      <c r="F981" s="144">
        <v>0</v>
      </c>
      <c r="G981" s="291">
        <v>0</v>
      </c>
      <c r="H981" s="150">
        <v>0</v>
      </c>
      <c r="I981" s="567">
        <f t="shared" si="26"/>
        <v>0</v>
      </c>
    </row>
    <row r="982" spans="1:9" x14ac:dyDescent="0.15">
      <c r="A982" s="138"/>
      <c r="B982" s="521" t="s">
        <v>1624</v>
      </c>
      <c r="C982" s="138" t="s">
        <v>840</v>
      </c>
      <c r="D982" s="144">
        <v>0</v>
      </c>
      <c r="E982" s="144">
        <v>0</v>
      </c>
      <c r="F982" s="144">
        <v>0</v>
      </c>
      <c r="G982" s="291">
        <v>0</v>
      </c>
      <c r="H982" s="150">
        <v>0</v>
      </c>
      <c r="I982" s="567">
        <f t="shared" si="26"/>
        <v>0</v>
      </c>
    </row>
    <row r="983" spans="1:9" x14ac:dyDescent="0.15">
      <c r="A983" s="138"/>
      <c r="B983" s="521" t="s">
        <v>1625</v>
      </c>
      <c r="C983" s="138" t="s">
        <v>842</v>
      </c>
      <c r="D983" s="144">
        <v>0</v>
      </c>
      <c r="E983" s="144">
        <v>0</v>
      </c>
      <c r="F983" s="144">
        <v>0</v>
      </c>
      <c r="G983" s="291">
        <v>0</v>
      </c>
      <c r="H983" s="150">
        <v>0</v>
      </c>
      <c r="I983" s="567">
        <f t="shared" si="26"/>
        <v>0</v>
      </c>
    </row>
    <row r="984" spans="1:9" x14ac:dyDescent="0.15">
      <c r="A984" s="138"/>
      <c r="B984" s="521" t="s">
        <v>843</v>
      </c>
      <c r="C984" s="138" t="s">
        <v>848</v>
      </c>
      <c r="D984" s="144">
        <v>0</v>
      </c>
      <c r="E984" s="144">
        <v>0</v>
      </c>
      <c r="F984" s="144">
        <v>0</v>
      </c>
      <c r="G984" s="291">
        <v>0</v>
      </c>
      <c r="H984" s="150">
        <v>0</v>
      </c>
      <c r="I984" s="567">
        <f t="shared" si="26"/>
        <v>0</v>
      </c>
    </row>
    <row r="985" spans="1:9" x14ac:dyDescent="0.15">
      <c r="A985" s="138"/>
      <c r="B985" s="521" t="s">
        <v>844</v>
      </c>
      <c r="C985" s="138" t="s">
        <v>153</v>
      </c>
      <c r="D985" s="144">
        <v>0</v>
      </c>
      <c r="E985" s="144">
        <v>0</v>
      </c>
      <c r="F985" s="144">
        <v>0</v>
      </c>
      <c r="G985" s="291">
        <v>0</v>
      </c>
      <c r="H985" s="150">
        <v>0</v>
      </c>
      <c r="I985" s="567">
        <f t="shared" si="26"/>
        <v>0</v>
      </c>
    </row>
    <row r="986" spans="1:9" x14ac:dyDescent="0.15">
      <c r="A986" s="138"/>
      <c r="B986" s="521" t="s">
        <v>845</v>
      </c>
      <c r="C986" s="138" t="s">
        <v>154</v>
      </c>
      <c r="D986" s="144">
        <v>0</v>
      </c>
      <c r="E986" s="144">
        <v>0</v>
      </c>
      <c r="F986" s="144">
        <v>0</v>
      </c>
      <c r="G986" s="291">
        <v>0</v>
      </c>
      <c r="H986" s="150">
        <v>0</v>
      </c>
      <c r="I986" s="567">
        <f t="shared" si="26"/>
        <v>0</v>
      </c>
    </row>
    <row r="987" spans="1:9" x14ac:dyDescent="0.15">
      <c r="A987" s="138"/>
      <c r="B987" s="521" t="s">
        <v>846</v>
      </c>
      <c r="C987" s="138" t="s">
        <v>155</v>
      </c>
      <c r="D987" s="144">
        <v>0</v>
      </c>
      <c r="E987" s="144">
        <v>0</v>
      </c>
      <c r="F987" s="144">
        <v>0</v>
      </c>
      <c r="G987" s="291">
        <v>0</v>
      </c>
      <c r="H987" s="150">
        <v>0</v>
      </c>
      <c r="I987" s="567">
        <f t="shared" si="26"/>
        <v>0</v>
      </c>
    </row>
    <row r="988" spans="1:9" x14ac:dyDescent="0.15">
      <c r="A988" s="138"/>
      <c r="B988" s="521" t="s">
        <v>1582</v>
      </c>
      <c r="C988" s="138" t="s">
        <v>156</v>
      </c>
      <c r="D988" s="144">
        <v>0</v>
      </c>
      <c r="E988" s="144">
        <v>0</v>
      </c>
      <c r="F988" s="144">
        <v>0</v>
      </c>
      <c r="G988" s="291">
        <v>0</v>
      </c>
      <c r="H988" s="150">
        <v>0</v>
      </c>
      <c r="I988" s="567">
        <f t="shared" si="26"/>
        <v>0</v>
      </c>
    </row>
    <row r="989" spans="1:9" x14ac:dyDescent="0.15">
      <c r="A989" s="138"/>
      <c r="B989" s="521" t="s">
        <v>847</v>
      </c>
      <c r="C989" s="138" t="s">
        <v>157</v>
      </c>
      <c r="D989" s="144">
        <v>0</v>
      </c>
      <c r="E989" s="144">
        <v>0</v>
      </c>
      <c r="F989" s="144">
        <v>0</v>
      </c>
      <c r="G989" s="291">
        <v>0</v>
      </c>
      <c r="H989" s="150">
        <v>0</v>
      </c>
      <c r="I989" s="567">
        <f t="shared" si="26"/>
        <v>0</v>
      </c>
    </row>
    <row r="990" spans="1:9" x14ac:dyDescent="0.15">
      <c r="A990" s="138"/>
      <c r="B990" s="521" t="s">
        <v>1583</v>
      </c>
      <c r="C990" s="138" t="s">
        <v>160</v>
      </c>
      <c r="D990" s="144">
        <v>0</v>
      </c>
      <c r="E990" s="144">
        <v>0</v>
      </c>
      <c r="F990" s="144">
        <v>0</v>
      </c>
      <c r="G990" s="291">
        <v>0</v>
      </c>
      <c r="H990" s="150">
        <v>0</v>
      </c>
      <c r="I990" s="567">
        <f t="shared" si="26"/>
        <v>0</v>
      </c>
    </row>
    <row r="991" spans="1:9" x14ac:dyDescent="0.15">
      <c r="A991" s="138"/>
      <c r="B991" s="521" t="s">
        <v>634</v>
      </c>
      <c r="C991" s="138" t="s">
        <v>165</v>
      </c>
      <c r="D991" s="144">
        <v>0</v>
      </c>
      <c r="E991" s="144">
        <v>0</v>
      </c>
      <c r="F991" s="144">
        <v>0</v>
      </c>
      <c r="G991" s="291">
        <v>0</v>
      </c>
      <c r="H991" s="150">
        <v>0</v>
      </c>
      <c r="I991" s="567">
        <f t="shared" si="26"/>
        <v>0</v>
      </c>
    </row>
    <row r="992" spans="1:9" x14ac:dyDescent="0.15">
      <c r="A992" s="138"/>
      <c r="B992" s="521" t="s">
        <v>630</v>
      </c>
      <c r="C992" s="138" t="s">
        <v>172</v>
      </c>
      <c r="D992" s="144">
        <v>0</v>
      </c>
      <c r="E992" s="144">
        <v>0</v>
      </c>
      <c r="F992" s="144">
        <v>0</v>
      </c>
      <c r="G992" s="291">
        <v>0</v>
      </c>
      <c r="H992" s="150">
        <v>0</v>
      </c>
      <c r="I992" s="567">
        <f t="shared" si="26"/>
        <v>0</v>
      </c>
    </row>
    <row r="993" spans="1:9" x14ac:dyDescent="0.15">
      <c r="A993" s="138"/>
      <c r="B993" s="650" t="s">
        <v>631</v>
      </c>
      <c r="C993" s="651" t="s">
        <v>173</v>
      </c>
      <c r="D993" s="144">
        <v>0</v>
      </c>
      <c r="E993" s="144">
        <v>0</v>
      </c>
      <c r="F993" s="144">
        <v>0</v>
      </c>
      <c r="G993" s="291">
        <v>0</v>
      </c>
      <c r="H993" s="150">
        <v>0</v>
      </c>
      <c r="I993" s="567">
        <f t="shared" si="26"/>
        <v>0</v>
      </c>
    </row>
    <row r="994" spans="1:9" x14ac:dyDescent="0.15">
      <c r="A994" s="138"/>
      <c r="B994" s="521" t="s">
        <v>1584</v>
      </c>
      <c r="C994" s="138" t="s">
        <v>178</v>
      </c>
      <c r="D994" s="144">
        <v>0</v>
      </c>
      <c r="E994" s="144">
        <v>0</v>
      </c>
      <c r="F994" s="144">
        <v>0</v>
      </c>
      <c r="G994" s="291">
        <v>0</v>
      </c>
      <c r="H994" s="150">
        <v>0</v>
      </c>
      <c r="I994" s="567">
        <f t="shared" si="26"/>
        <v>0</v>
      </c>
    </row>
    <row r="995" spans="1:9" x14ac:dyDescent="0.15">
      <c r="A995" s="138"/>
      <c r="B995" s="521" t="s">
        <v>174</v>
      </c>
      <c r="C995" s="138" t="s">
        <v>179</v>
      </c>
      <c r="D995" s="144">
        <v>0</v>
      </c>
      <c r="E995" s="144">
        <v>0</v>
      </c>
      <c r="F995" s="144">
        <v>0</v>
      </c>
      <c r="G995" s="291">
        <v>0</v>
      </c>
      <c r="H995" s="150">
        <v>0</v>
      </c>
      <c r="I995" s="567">
        <f t="shared" si="26"/>
        <v>0</v>
      </c>
    </row>
    <row r="996" spans="1:9" x14ac:dyDescent="0.15">
      <c r="A996" s="138"/>
      <c r="B996" s="521" t="s">
        <v>175</v>
      </c>
      <c r="C996" s="138" t="s">
        <v>180</v>
      </c>
      <c r="D996" s="144">
        <v>0</v>
      </c>
      <c r="E996" s="144">
        <v>0</v>
      </c>
      <c r="F996" s="144">
        <v>0</v>
      </c>
      <c r="G996" s="291">
        <v>0</v>
      </c>
      <c r="H996" s="150">
        <v>0</v>
      </c>
      <c r="I996" s="567">
        <f t="shared" si="26"/>
        <v>0</v>
      </c>
    </row>
    <row r="997" spans="1:9" ht="11.25" thickBot="1" x14ac:dyDescent="0.2">
      <c r="A997" s="138"/>
      <c r="B997" s="521" t="s">
        <v>176</v>
      </c>
      <c r="C997" s="138" t="s">
        <v>181</v>
      </c>
      <c r="D997" s="144">
        <v>0</v>
      </c>
      <c r="E997" s="144">
        <v>0</v>
      </c>
      <c r="F997" s="144">
        <v>0</v>
      </c>
      <c r="G997" s="291">
        <v>0</v>
      </c>
      <c r="H997" s="150">
        <v>0</v>
      </c>
      <c r="I997" s="567">
        <f t="shared" si="26"/>
        <v>0</v>
      </c>
    </row>
    <row r="998" spans="1:9" ht="12" thickTop="1" thickBot="1" x14ac:dyDescent="0.2">
      <c r="A998" s="138"/>
      <c r="B998" s="521"/>
      <c r="C998" s="138" t="s">
        <v>386</v>
      </c>
      <c r="D998" s="169">
        <f t="shared" ref="D998:I998" si="27">SUM(D964:D997)</f>
        <v>0</v>
      </c>
      <c r="E998" s="169">
        <f t="shared" si="27"/>
        <v>0</v>
      </c>
      <c r="F998" s="169">
        <f t="shared" si="27"/>
        <v>0</v>
      </c>
      <c r="G998" s="169">
        <f t="shared" si="27"/>
        <v>0</v>
      </c>
      <c r="H998" s="169">
        <f t="shared" si="27"/>
        <v>0</v>
      </c>
      <c r="I998" s="169">
        <f t="shared" si="27"/>
        <v>0</v>
      </c>
    </row>
    <row r="999" spans="1:9" ht="11.25" thickTop="1" x14ac:dyDescent="0.15">
      <c r="A999" s="138"/>
      <c r="B999" s="138"/>
      <c r="C999" s="138"/>
      <c r="D999" s="14"/>
      <c r="E999" s="14"/>
      <c r="F999" s="14"/>
      <c r="G999" s="14"/>
      <c r="H999" s="14"/>
      <c r="I999" s="563"/>
    </row>
    <row r="1000" spans="1:9" x14ac:dyDescent="0.15">
      <c r="A1000" s="522" t="s">
        <v>387</v>
      </c>
      <c r="B1000" s="138"/>
      <c r="C1000" s="138"/>
      <c r="D1000" s="14"/>
      <c r="E1000" s="14"/>
      <c r="F1000" s="14"/>
      <c r="G1000" s="14"/>
      <c r="H1000" s="14"/>
      <c r="I1000" s="563"/>
    </row>
    <row r="1001" spans="1:9" s="434" customFormat="1" x14ac:dyDescent="0.15">
      <c r="B1001" s="523" t="s">
        <v>1577</v>
      </c>
      <c r="C1001" s="524" t="s">
        <v>228</v>
      </c>
      <c r="D1001" s="316">
        <v>0</v>
      </c>
      <c r="E1001" s="316">
        <v>0</v>
      </c>
      <c r="F1001" s="316">
        <v>0</v>
      </c>
      <c r="G1001" s="528">
        <f t="array" ref="G1001">SUM(IF(CertFund&amp;CertProg&amp;CertObj=RIGHT(LEFT($A$2,7),2)&amp;LEFT(A1000,4)&amp;B1001,CertSalary))</f>
        <v>0</v>
      </c>
      <c r="H1001" s="527">
        <v>0</v>
      </c>
      <c r="I1001" s="566">
        <f t="shared" ref="I1001:I1035" si="28">SUM(G1001+H1001)</f>
        <v>0</v>
      </c>
    </row>
    <row r="1002" spans="1:9" s="434" customFormat="1" x14ac:dyDescent="0.15">
      <c r="B1002" s="523" t="s">
        <v>1577</v>
      </c>
      <c r="C1002" s="524" t="s">
        <v>510</v>
      </c>
      <c r="D1002" s="316">
        <v>0</v>
      </c>
      <c r="E1002" s="316">
        <v>0</v>
      </c>
      <c r="F1002" s="316">
        <v>0</v>
      </c>
      <c r="G1002" s="316">
        <v>0</v>
      </c>
      <c r="H1002" s="527">
        <v>0</v>
      </c>
      <c r="I1002" s="566">
        <f t="shared" si="28"/>
        <v>0</v>
      </c>
    </row>
    <row r="1003" spans="1:9" s="434" customFormat="1" x14ac:dyDescent="0.15">
      <c r="A1003" s="524"/>
      <c r="B1003" s="523" t="s">
        <v>1578</v>
      </c>
      <c r="C1003" s="524" t="s">
        <v>936</v>
      </c>
      <c r="D1003" s="316">
        <v>0</v>
      </c>
      <c r="E1003" s="316">
        <v>0</v>
      </c>
      <c r="F1003" s="316">
        <v>0</v>
      </c>
      <c r="G1003" s="529">
        <f t="array" ref="G1003">SUM(IF(CertFund&amp;CertProg&amp;CertObj=RIGHT(LEFT($A$2,7),2)&amp;LEFT(A1000,4)&amp;B1001,CertBen))</f>
        <v>0</v>
      </c>
      <c r="H1003" s="527">
        <v>0</v>
      </c>
      <c r="I1003" s="566">
        <f t="shared" si="28"/>
        <v>0</v>
      </c>
    </row>
    <row r="1004" spans="1:9" s="434" customFormat="1" x14ac:dyDescent="0.15">
      <c r="A1004" s="524"/>
      <c r="B1004" s="523" t="s">
        <v>1578</v>
      </c>
      <c r="C1004" s="524" t="s">
        <v>511</v>
      </c>
      <c r="D1004" s="316">
        <v>0</v>
      </c>
      <c r="E1004" s="316">
        <v>0</v>
      </c>
      <c r="F1004" s="316">
        <v>0</v>
      </c>
      <c r="G1004" s="316">
        <v>0</v>
      </c>
      <c r="H1004" s="527">
        <v>0</v>
      </c>
      <c r="I1004" s="566">
        <f t="shared" si="28"/>
        <v>0</v>
      </c>
    </row>
    <row r="1005" spans="1:9" x14ac:dyDescent="0.15">
      <c r="A1005" s="138"/>
      <c r="B1005" s="521" t="s">
        <v>1579</v>
      </c>
      <c r="C1005" s="138" t="s">
        <v>118</v>
      </c>
      <c r="D1005" s="144">
        <v>0</v>
      </c>
      <c r="E1005" s="144">
        <v>0</v>
      </c>
      <c r="F1005" s="144">
        <v>0</v>
      </c>
      <c r="G1005" s="291">
        <v>0</v>
      </c>
      <c r="H1005" s="150">
        <v>0</v>
      </c>
      <c r="I1005" s="567">
        <f t="shared" si="28"/>
        <v>0</v>
      </c>
    </row>
    <row r="1006" spans="1:9" x14ac:dyDescent="0.15">
      <c r="A1006" s="138"/>
      <c r="B1006" s="521" t="s">
        <v>1580</v>
      </c>
      <c r="C1006" s="138" t="s">
        <v>119</v>
      </c>
      <c r="D1006" s="144">
        <v>0</v>
      </c>
      <c r="E1006" s="144">
        <v>0</v>
      </c>
      <c r="F1006" s="144">
        <v>0</v>
      </c>
      <c r="G1006" s="291">
        <v>0</v>
      </c>
      <c r="H1006" s="150">
        <v>0</v>
      </c>
      <c r="I1006" s="567">
        <f t="shared" si="28"/>
        <v>0</v>
      </c>
    </row>
    <row r="1007" spans="1:9" x14ac:dyDescent="0.15">
      <c r="A1007" s="138"/>
      <c r="B1007" s="521" t="s">
        <v>120</v>
      </c>
      <c r="C1007" s="138" t="s">
        <v>121</v>
      </c>
      <c r="D1007" s="144">
        <v>0</v>
      </c>
      <c r="E1007" s="144">
        <v>0</v>
      </c>
      <c r="F1007" s="144">
        <v>0</v>
      </c>
      <c r="G1007" s="291">
        <v>0</v>
      </c>
      <c r="H1007" s="150">
        <v>0</v>
      </c>
      <c r="I1007" s="567">
        <f t="shared" si="28"/>
        <v>0</v>
      </c>
    </row>
    <row r="1008" spans="1:9" x14ac:dyDescent="0.15">
      <c r="A1008" s="138"/>
      <c r="B1008" s="521" t="s">
        <v>122</v>
      </c>
      <c r="C1008" s="138" t="s">
        <v>123</v>
      </c>
      <c r="D1008" s="144">
        <v>0</v>
      </c>
      <c r="E1008" s="144">
        <v>0</v>
      </c>
      <c r="F1008" s="144">
        <v>0</v>
      </c>
      <c r="G1008" s="291">
        <v>0</v>
      </c>
      <c r="H1008" s="150">
        <v>0</v>
      </c>
      <c r="I1008" s="567">
        <f t="shared" si="28"/>
        <v>0</v>
      </c>
    </row>
    <row r="1009" spans="1:9" x14ac:dyDescent="0.15">
      <c r="A1009" s="138"/>
      <c r="B1009" s="521" t="s">
        <v>1581</v>
      </c>
      <c r="C1009" s="138" t="s">
        <v>124</v>
      </c>
      <c r="D1009" s="144">
        <v>0</v>
      </c>
      <c r="E1009" s="144">
        <v>0</v>
      </c>
      <c r="F1009" s="144">
        <v>0</v>
      </c>
      <c r="G1009" s="291">
        <v>0</v>
      </c>
      <c r="H1009" s="150">
        <v>0</v>
      </c>
      <c r="I1009" s="567">
        <f t="shared" si="28"/>
        <v>0</v>
      </c>
    </row>
    <row r="1010" spans="1:9" x14ac:dyDescent="0.15">
      <c r="A1010" s="138"/>
      <c r="B1010" s="521" t="s">
        <v>127</v>
      </c>
      <c r="C1010" s="138" t="s">
        <v>134</v>
      </c>
      <c r="D1010" s="144">
        <v>0</v>
      </c>
      <c r="E1010" s="144">
        <v>0</v>
      </c>
      <c r="F1010" s="144">
        <v>0</v>
      </c>
      <c r="G1010" s="291">
        <v>0</v>
      </c>
      <c r="H1010" s="150">
        <v>0</v>
      </c>
      <c r="I1010" s="567">
        <f t="shared" si="28"/>
        <v>0</v>
      </c>
    </row>
    <row r="1011" spans="1:9" x14ac:dyDescent="0.15">
      <c r="A1011" s="138"/>
      <c r="B1011" s="521" t="s">
        <v>128</v>
      </c>
      <c r="C1011" s="138" t="s">
        <v>135</v>
      </c>
      <c r="D1011" s="144">
        <v>0</v>
      </c>
      <c r="E1011" s="144">
        <v>0</v>
      </c>
      <c r="F1011" s="144">
        <v>0</v>
      </c>
      <c r="G1011" s="291">
        <v>0</v>
      </c>
      <c r="H1011" s="150">
        <v>0</v>
      </c>
      <c r="I1011" s="567">
        <f t="shared" si="28"/>
        <v>0</v>
      </c>
    </row>
    <row r="1012" spans="1:9" x14ac:dyDescent="0.15">
      <c r="A1012" s="138"/>
      <c r="B1012" s="521" t="s">
        <v>132</v>
      </c>
      <c r="C1012" s="138" t="s">
        <v>1617</v>
      </c>
      <c r="D1012" s="144">
        <v>0</v>
      </c>
      <c r="E1012" s="144">
        <v>0</v>
      </c>
      <c r="F1012" s="144">
        <v>0</v>
      </c>
      <c r="G1012" s="291">
        <v>0</v>
      </c>
      <c r="H1012" s="150">
        <v>0</v>
      </c>
      <c r="I1012" s="567">
        <f t="shared" si="28"/>
        <v>0</v>
      </c>
    </row>
    <row r="1013" spans="1:9" x14ac:dyDescent="0.15">
      <c r="A1013" s="138"/>
      <c r="B1013" s="521" t="s">
        <v>1618</v>
      </c>
      <c r="C1013" s="138" t="s">
        <v>836</v>
      </c>
      <c r="D1013" s="144">
        <v>0</v>
      </c>
      <c r="E1013" s="144">
        <v>0</v>
      </c>
      <c r="F1013" s="144">
        <v>0</v>
      </c>
      <c r="G1013" s="291">
        <v>0</v>
      </c>
      <c r="H1013" s="150">
        <v>0</v>
      </c>
      <c r="I1013" s="567">
        <f t="shared" si="28"/>
        <v>0</v>
      </c>
    </row>
    <row r="1014" spans="1:9" x14ac:dyDescent="0.15">
      <c r="A1014" s="138"/>
      <c r="B1014" s="521" t="s">
        <v>1619</v>
      </c>
      <c r="C1014" s="138" t="s">
        <v>837</v>
      </c>
      <c r="D1014" s="144">
        <v>0</v>
      </c>
      <c r="E1014" s="144">
        <v>0</v>
      </c>
      <c r="F1014" s="144">
        <v>0</v>
      </c>
      <c r="G1014" s="291">
        <v>0</v>
      </c>
      <c r="H1014" s="150">
        <v>0</v>
      </c>
      <c r="I1014" s="567">
        <f t="shared" si="28"/>
        <v>0</v>
      </c>
    </row>
    <row r="1015" spans="1:9" x14ac:dyDescent="0.15">
      <c r="A1015" s="138"/>
      <c r="B1015" s="521" t="s">
        <v>1620</v>
      </c>
      <c r="C1015" s="138" t="s">
        <v>838</v>
      </c>
      <c r="D1015" s="144">
        <v>0</v>
      </c>
      <c r="E1015" s="144">
        <v>0</v>
      </c>
      <c r="F1015" s="144">
        <v>0</v>
      </c>
      <c r="G1015" s="291">
        <v>0</v>
      </c>
      <c r="H1015" s="150">
        <v>0</v>
      </c>
      <c r="I1015" s="567">
        <f t="shared" si="28"/>
        <v>0</v>
      </c>
    </row>
    <row r="1016" spans="1:9" x14ac:dyDescent="0.15">
      <c r="A1016" s="138"/>
      <c r="B1016" s="521" t="s">
        <v>1621</v>
      </c>
      <c r="C1016" s="138" t="s">
        <v>839</v>
      </c>
      <c r="D1016" s="144">
        <v>0</v>
      </c>
      <c r="E1016" s="144">
        <v>0</v>
      </c>
      <c r="F1016" s="144">
        <v>0</v>
      </c>
      <c r="G1016" s="291">
        <v>0</v>
      </c>
      <c r="H1016" s="150">
        <v>0</v>
      </c>
      <c r="I1016" s="567">
        <f t="shared" si="28"/>
        <v>0</v>
      </c>
    </row>
    <row r="1017" spans="1:9" x14ac:dyDescent="0.15">
      <c r="A1017" s="138"/>
      <c r="B1017" s="521" t="s">
        <v>1622</v>
      </c>
      <c r="C1017" s="138" t="s">
        <v>190</v>
      </c>
      <c r="D1017" s="144">
        <v>0</v>
      </c>
      <c r="E1017" s="144">
        <v>0</v>
      </c>
      <c r="F1017" s="144">
        <v>0</v>
      </c>
      <c r="G1017" s="291">
        <v>0</v>
      </c>
      <c r="H1017" s="150">
        <v>0</v>
      </c>
      <c r="I1017" s="567">
        <f t="shared" si="28"/>
        <v>0</v>
      </c>
    </row>
    <row r="1018" spans="1:9" x14ac:dyDescent="0.15">
      <c r="A1018" s="138"/>
      <c r="B1018" s="521" t="s">
        <v>1623</v>
      </c>
      <c r="C1018" s="138" t="s">
        <v>191</v>
      </c>
      <c r="D1018" s="144">
        <v>0</v>
      </c>
      <c r="E1018" s="144">
        <v>0</v>
      </c>
      <c r="F1018" s="144">
        <v>0</v>
      </c>
      <c r="G1018" s="291">
        <v>0</v>
      </c>
      <c r="H1018" s="150">
        <v>0</v>
      </c>
      <c r="I1018" s="567">
        <f t="shared" si="28"/>
        <v>0</v>
      </c>
    </row>
    <row r="1019" spans="1:9" x14ac:dyDescent="0.15">
      <c r="A1019" s="138"/>
      <c r="B1019" s="521" t="s">
        <v>1624</v>
      </c>
      <c r="C1019" s="138" t="s">
        <v>840</v>
      </c>
      <c r="D1019" s="144">
        <v>0</v>
      </c>
      <c r="E1019" s="144">
        <v>0</v>
      </c>
      <c r="F1019" s="144">
        <v>0</v>
      </c>
      <c r="G1019" s="291">
        <v>0</v>
      </c>
      <c r="H1019" s="150">
        <v>0</v>
      </c>
      <c r="I1019" s="567">
        <f t="shared" si="28"/>
        <v>0</v>
      </c>
    </row>
    <row r="1020" spans="1:9" x14ac:dyDescent="0.15">
      <c r="A1020" s="138"/>
      <c r="B1020" s="521" t="s">
        <v>1625</v>
      </c>
      <c r="C1020" s="138" t="s">
        <v>842</v>
      </c>
      <c r="D1020" s="144">
        <v>0</v>
      </c>
      <c r="E1020" s="144">
        <v>0</v>
      </c>
      <c r="F1020" s="144">
        <v>0</v>
      </c>
      <c r="G1020" s="291">
        <v>0</v>
      </c>
      <c r="H1020" s="150">
        <v>0</v>
      </c>
      <c r="I1020" s="567">
        <f t="shared" si="28"/>
        <v>0</v>
      </c>
    </row>
    <row r="1021" spans="1:9" x14ac:dyDescent="0.15">
      <c r="A1021" s="138"/>
      <c r="B1021" s="521" t="s">
        <v>843</v>
      </c>
      <c r="C1021" s="138" t="s">
        <v>848</v>
      </c>
      <c r="D1021" s="144">
        <v>0</v>
      </c>
      <c r="E1021" s="144">
        <v>0</v>
      </c>
      <c r="F1021" s="144">
        <v>0</v>
      </c>
      <c r="G1021" s="291">
        <v>0</v>
      </c>
      <c r="H1021" s="150">
        <v>0</v>
      </c>
      <c r="I1021" s="567">
        <f t="shared" si="28"/>
        <v>0</v>
      </c>
    </row>
    <row r="1022" spans="1:9" x14ac:dyDescent="0.15">
      <c r="A1022" s="138"/>
      <c r="B1022" s="521" t="s">
        <v>844</v>
      </c>
      <c r="C1022" s="138" t="s">
        <v>153</v>
      </c>
      <c r="D1022" s="144">
        <v>0</v>
      </c>
      <c r="E1022" s="144">
        <v>0</v>
      </c>
      <c r="F1022" s="144">
        <v>0</v>
      </c>
      <c r="G1022" s="291">
        <v>0</v>
      </c>
      <c r="H1022" s="150">
        <v>0</v>
      </c>
      <c r="I1022" s="567">
        <f t="shared" si="28"/>
        <v>0</v>
      </c>
    </row>
    <row r="1023" spans="1:9" x14ac:dyDescent="0.15">
      <c r="A1023" s="138"/>
      <c r="B1023" s="521" t="s">
        <v>845</v>
      </c>
      <c r="C1023" s="138" t="s">
        <v>154</v>
      </c>
      <c r="D1023" s="144">
        <v>0</v>
      </c>
      <c r="E1023" s="144">
        <v>0</v>
      </c>
      <c r="F1023" s="144">
        <v>0</v>
      </c>
      <c r="G1023" s="291">
        <v>0</v>
      </c>
      <c r="H1023" s="150">
        <v>0</v>
      </c>
      <c r="I1023" s="567">
        <f t="shared" si="28"/>
        <v>0</v>
      </c>
    </row>
    <row r="1024" spans="1:9" x14ac:dyDescent="0.15">
      <c r="A1024" s="138"/>
      <c r="B1024" s="521" t="s">
        <v>846</v>
      </c>
      <c r="C1024" s="138" t="s">
        <v>155</v>
      </c>
      <c r="D1024" s="144">
        <v>0</v>
      </c>
      <c r="E1024" s="144">
        <v>0</v>
      </c>
      <c r="F1024" s="144">
        <v>0</v>
      </c>
      <c r="G1024" s="291">
        <v>0</v>
      </c>
      <c r="H1024" s="150">
        <v>0</v>
      </c>
      <c r="I1024" s="567">
        <f t="shared" si="28"/>
        <v>0</v>
      </c>
    </row>
    <row r="1025" spans="1:9" x14ac:dyDescent="0.15">
      <c r="A1025" s="138"/>
      <c r="B1025" s="521" t="s">
        <v>1582</v>
      </c>
      <c r="C1025" s="138" t="s">
        <v>156</v>
      </c>
      <c r="D1025" s="144">
        <v>0</v>
      </c>
      <c r="E1025" s="144">
        <v>0</v>
      </c>
      <c r="F1025" s="144">
        <v>0</v>
      </c>
      <c r="G1025" s="291">
        <v>0</v>
      </c>
      <c r="H1025" s="150">
        <v>0</v>
      </c>
      <c r="I1025" s="567">
        <f t="shared" si="28"/>
        <v>0</v>
      </c>
    </row>
    <row r="1026" spans="1:9" x14ac:dyDescent="0.15">
      <c r="A1026" s="138"/>
      <c r="B1026" s="521" t="s">
        <v>847</v>
      </c>
      <c r="C1026" s="138" t="s">
        <v>157</v>
      </c>
      <c r="D1026" s="144">
        <v>0</v>
      </c>
      <c r="E1026" s="144">
        <v>0</v>
      </c>
      <c r="F1026" s="144">
        <v>0</v>
      </c>
      <c r="G1026" s="291">
        <v>0</v>
      </c>
      <c r="H1026" s="150">
        <v>0</v>
      </c>
      <c r="I1026" s="567">
        <f t="shared" si="28"/>
        <v>0</v>
      </c>
    </row>
    <row r="1027" spans="1:9" x14ac:dyDescent="0.15">
      <c r="A1027" s="138"/>
      <c r="B1027" s="521" t="s">
        <v>1583</v>
      </c>
      <c r="C1027" s="138" t="s">
        <v>160</v>
      </c>
      <c r="D1027" s="144">
        <v>0</v>
      </c>
      <c r="E1027" s="144">
        <v>0</v>
      </c>
      <c r="F1027" s="144">
        <v>0</v>
      </c>
      <c r="G1027" s="291">
        <v>0</v>
      </c>
      <c r="H1027" s="150">
        <v>0</v>
      </c>
      <c r="I1027" s="567">
        <f t="shared" si="28"/>
        <v>0</v>
      </c>
    </row>
    <row r="1028" spans="1:9" x14ac:dyDescent="0.15">
      <c r="A1028" s="138"/>
      <c r="B1028" s="521" t="s">
        <v>634</v>
      </c>
      <c r="C1028" s="138" t="s">
        <v>165</v>
      </c>
      <c r="D1028" s="144">
        <v>0</v>
      </c>
      <c r="E1028" s="144">
        <v>0</v>
      </c>
      <c r="F1028" s="144">
        <v>0</v>
      </c>
      <c r="G1028" s="291">
        <v>0</v>
      </c>
      <c r="H1028" s="150">
        <v>0</v>
      </c>
      <c r="I1028" s="567">
        <f t="shared" si="28"/>
        <v>0</v>
      </c>
    </row>
    <row r="1029" spans="1:9" x14ac:dyDescent="0.15">
      <c r="A1029" s="138"/>
      <c r="B1029" s="521" t="s">
        <v>630</v>
      </c>
      <c r="C1029" s="138" t="s">
        <v>172</v>
      </c>
      <c r="D1029" s="144">
        <v>0</v>
      </c>
      <c r="E1029" s="144">
        <v>0</v>
      </c>
      <c r="F1029" s="144">
        <v>0</v>
      </c>
      <c r="G1029" s="291">
        <v>0</v>
      </c>
      <c r="H1029" s="150">
        <v>0</v>
      </c>
      <c r="I1029" s="567">
        <f t="shared" si="28"/>
        <v>0</v>
      </c>
    </row>
    <row r="1030" spans="1:9" x14ac:dyDescent="0.15">
      <c r="A1030" s="138"/>
      <c r="B1030" s="650" t="s">
        <v>631</v>
      </c>
      <c r="C1030" s="651" t="s">
        <v>173</v>
      </c>
      <c r="D1030" s="144">
        <v>0</v>
      </c>
      <c r="E1030" s="144">
        <v>0</v>
      </c>
      <c r="F1030" s="144">
        <v>0</v>
      </c>
      <c r="G1030" s="291">
        <v>0</v>
      </c>
      <c r="H1030" s="150">
        <v>0</v>
      </c>
      <c r="I1030" s="567">
        <f t="shared" si="28"/>
        <v>0</v>
      </c>
    </row>
    <row r="1031" spans="1:9" x14ac:dyDescent="0.15">
      <c r="A1031" s="138"/>
      <c r="B1031" s="521" t="s">
        <v>1584</v>
      </c>
      <c r="C1031" s="138" t="s">
        <v>178</v>
      </c>
      <c r="D1031" s="144">
        <v>0</v>
      </c>
      <c r="E1031" s="144">
        <v>0</v>
      </c>
      <c r="F1031" s="144">
        <v>0</v>
      </c>
      <c r="G1031" s="291">
        <v>0</v>
      </c>
      <c r="H1031" s="150">
        <v>0</v>
      </c>
      <c r="I1031" s="567">
        <f t="shared" si="28"/>
        <v>0</v>
      </c>
    </row>
    <row r="1032" spans="1:9" x14ac:dyDescent="0.15">
      <c r="A1032" s="138"/>
      <c r="B1032" s="521" t="s">
        <v>174</v>
      </c>
      <c r="C1032" s="138" t="s">
        <v>179</v>
      </c>
      <c r="D1032" s="144">
        <v>0</v>
      </c>
      <c r="E1032" s="144">
        <v>0</v>
      </c>
      <c r="F1032" s="144">
        <v>0</v>
      </c>
      <c r="G1032" s="291">
        <v>0</v>
      </c>
      <c r="H1032" s="150">
        <v>0</v>
      </c>
      <c r="I1032" s="567">
        <f t="shared" si="28"/>
        <v>0</v>
      </c>
    </row>
    <row r="1033" spans="1:9" x14ac:dyDescent="0.15">
      <c r="A1033" s="138"/>
      <c r="B1033" s="521" t="s">
        <v>175</v>
      </c>
      <c r="C1033" s="138" t="s">
        <v>180</v>
      </c>
      <c r="D1033" s="144">
        <v>0</v>
      </c>
      <c r="E1033" s="144">
        <v>0</v>
      </c>
      <c r="F1033" s="144">
        <v>0</v>
      </c>
      <c r="G1033" s="291">
        <v>0</v>
      </c>
      <c r="H1033" s="150">
        <v>0</v>
      </c>
      <c r="I1033" s="567">
        <f t="shared" si="28"/>
        <v>0</v>
      </c>
    </row>
    <row r="1034" spans="1:9" ht="11.25" thickBot="1" x14ac:dyDescent="0.2">
      <c r="A1034" s="138"/>
      <c r="B1034" s="521" t="s">
        <v>176</v>
      </c>
      <c r="C1034" s="138" t="s">
        <v>181</v>
      </c>
      <c r="D1034" s="144">
        <v>0</v>
      </c>
      <c r="E1034" s="144">
        <v>0</v>
      </c>
      <c r="F1034" s="144">
        <v>0</v>
      </c>
      <c r="G1034" s="291">
        <v>0</v>
      </c>
      <c r="H1034" s="150">
        <v>0</v>
      </c>
      <c r="I1034" s="567">
        <f t="shared" si="28"/>
        <v>0</v>
      </c>
    </row>
    <row r="1035" spans="1:9" ht="12" thickTop="1" thickBot="1" x14ac:dyDescent="0.2">
      <c r="A1035" s="138"/>
      <c r="B1035" s="521"/>
      <c r="C1035" s="138" t="s">
        <v>388</v>
      </c>
      <c r="D1035" s="169">
        <f>SUM(D1001:D1034)</f>
        <v>0</v>
      </c>
      <c r="E1035" s="169">
        <f>SUM(E1001:E1034)</f>
        <v>0</v>
      </c>
      <c r="F1035" s="169">
        <f>SUM(F1001:F1034)</f>
        <v>0</v>
      </c>
      <c r="G1035" s="169">
        <f>SUM(G1001:G1034)</f>
        <v>0</v>
      </c>
      <c r="H1035" s="169">
        <f>SUM(H1001:H1034)</f>
        <v>0</v>
      </c>
      <c r="I1035" s="169">
        <f t="shared" si="28"/>
        <v>0</v>
      </c>
    </row>
    <row r="1036" spans="1:9" ht="11.25" thickTop="1" x14ac:dyDescent="0.15">
      <c r="A1036" s="138"/>
      <c r="B1036" s="138"/>
      <c r="C1036" s="138"/>
      <c r="D1036" s="14"/>
      <c r="E1036" s="14"/>
      <c r="F1036" s="14"/>
      <c r="G1036" s="14"/>
      <c r="H1036" s="14"/>
      <c r="I1036" s="563"/>
    </row>
    <row r="1037" spans="1:9" x14ac:dyDescent="0.15">
      <c r="A1037" s="522" t="s">
        <v>1145</v>
      </c>
      <c r="B1037" s="138"/>
      <c r="C1037" s="138"/>
      <c r="D1037" s="14"/>
      <c r="E1037" s="14"/>
      <c r="F1037" s="14"/>
      <c r="G1037" s="14"/>
      <c r="H1037" s="14"/>
      <c r="I1037" s="563"/>
    </row>
    <row r="1038" spans="1:9" s="434" customFormat="1" x14ac:dyDescent="0.15">
      <c r="B1038" s="523" t="s">
        <v>1577</v>
      </c>
      <c r="C1038" s="524" t="s">
        <v>228</v>
      </c>
      <c r="D1038" s="316">
        <v>0</v>
      </c>
      <c r="E1038" s="316">
        <v>0</v>
      </c>
      <c r="F1038" s="316">
        <v>0</v>
      </c>
      <c r="G1038" s="528">
        <f t="array" ref="G1038">SUM(IF(CertFund&amp;CertProg&amp;CertObj=RIGHT(LEFT($A$2,7),2)&amp;LEFT(A1037,4)&amp;B1038,CertSalary))</f>
        <v>0</v>
      </c>
      <c r="H1038" s="527">
        <v>0</v>
      </c>
      <c r="I1038" s="566">
        <f t="shared" ref="I1038:I1071" si="29">SUM(G1038+H1038)</f>
        <v>0</v>
      </c>
    </row>
    <row r="1039" spans="1:9" s="434" customFormat="1" x14ac:dyDescent="0.15">
      <c r="B1039" s="523" t="s">
        <v>1577</v>
      </c>
      <c r="C1039" s="524" t="s">
        <v>510</v>
      </c>
      <c r="D1039" s="316">
        <v>0</v>
      </c>
      <c r="E1039" s="316">
        <v>0</v>
      </c>
      <c r="F1039" s="316">
        <v>0</v>
      </c>
      <c r="G1039" s="316">
        <v>0</v>
      </c>
      <c r="H1039" s="527">
        <v>0</v>
      </c>
      <c r="I1039" s="566">
        <f t="shared" si="29"/>
        <v>0</v>
      </c>
    </row>
    <row r="1040" spans="1:9" s="434" customFormat="1" x14ac:dyDescent="0.15">
      <c r="A1040" s="524"/>
      <c r="B1040" s="523" t="s">
        <v>1578</v>
      </c>
      <c r="C1040" s="524" t="s">
        <v>936</v>
      </c>
      <c r="D1040" s="316">
        <v>0</v>
      </c>
      <c r="E1040" s="316">
        <v>0</v>
      </c>
      <c r="F1040" s="316">
        <v>0</v>
      </c>
      <c r="G1040" s="529">
        <f t="array" ref="G1040">SUM(IF(CertFund&amp;CertProg&amp;CertObj=RIGHT(LEFT($A$2,7),2)&amp;LEFT(A1037,4)&amp;B1038,CertBen))</f>
        <v>0</v>
      </c>
      <c r="H1040" s="527">
        <v>0</v>
      </c>
      <c r="I1040" s="566">
        <f t="shared" si="29"/>
        <v>0</v>
      </c>
    </row>
    <row r="1041" spans="1:9" s="434" customFormat="1" x14ac:dyDescent="0.15">
      <c r="A1041" s="524"/>
      <c r="B1041" s="523" t="s">
        <v>1578</v>
      </c>
      <c r="C1041" s="524" t="s">
        <v>511</v>
      </c>
      <c r="D1041" s="316">
        <v>0</v>
      </c>
      <c r="E1041" s="316">
        <v>0</v>
      </c>
      <c r="F1041" s="316">
        <v>0</v>
      </c>
      <c r="G1041" s="316">
        <v>0</v>
      </c>
      <c r="H1041" s="527">
        <v>0</v>
      </c>
      <c r="I1041" s="566">
        <f t="shared" si="29"/>
        <v>0</v>
      </c>
    </row>
    <row r="1042" spans="1:9" x14ac:dyDescent="0.15">
      <c r="A1042" s="138"/>
      <c r="B1042" s="521" t="s">
        <v>1579</v>
      </c>
      <c r="C1042" s="138" t="s">
        <v>118</v>
      </c>
      <c r="D1042" s="144">
        <v>0</v>
      </c>
      <c r="E1042" s="144">
        <v>0</v>
      </c>
      <c r="F1042" s="144">
        <v>0</v>
      </c>
      <c r="G1042" s="291">
        <v>0</v>
      </c>
      <c r="H1042" s="150">
        <v>0</v>
      </c>
      <c r="I1042" s="567">
        <f t="shared" si="29"/>
        <v>0</v>
      </c>
    </row>
    <row r="1043" spans="1:9" x14ac:dyDescent="0.15">
      <c r="A1043" s="138"/>
      <c r="B1043" s="521" t="s">
        <v>1580</v>
      </c>
      <c r="C1043" s="138" t="s">
        <v>119</v>
      </c>
      <c r="D1043" s="144">
        <v>0</v>
      </c>
      <c r="E1043" s="144">
        <v>0</v>
      </c>
      <c r="F1043" s="144">
        <v>0</v>
      </c>
      <c r="G1043" s="291">
        <v>0</v>
      </c>
      <c r="H1043" s="150">
        <v>0</v>
      </c>
      <c r="I1043" s="567">
        <f t="shared" si="29"/>
        <v>0</v>
      </c>
    </row>
    <row r="1044" spans="1:9" x14ac:dyDescent="0.15">
      <c r="A1044" s="138"/>
      <c r="B1044" s="521" t="s">
        <v>120</v>
      </c>
      <c r="C1044" s="138" t="s">
        <v>121</v>
      </c>
      <c r="D1044" s="144">
        <v>0</v>
      </c>
      <c r="E1044" s="144">
        <v>0</v>
      </c>
      <c r="F1044" s="144">
        <v>0</v>
      </c>
      <c r="G1044" s="291">
        <v>0</v>
      </c>
      <c r="H1044" s="150">
        <v>0</v>
      </c>
      <c r="I1044" s="567">
        <f t="shared" si="29"/>
        <v>0</v>
      </c>
    </row>
    <row r="1045" spans="1:9" x14ac:dyDescent="0.15">
      <c r="A1045" s="138"/>
      <c r="B1045" s="521" t="s">
        <v>122</v>
      </c>
      <c r="C1045" s="138" t="s">
        <v>123</v>
      </c>
      <c r="D1045" s="144">
        <v>0</v>
      </c>
      <c r="E1045" s="144">
        <v>0</v>
      </c>
      <c r="F1045" s="144">
        <v>0</v>
      </c>
      <c r="G1045" s="291">
        <v>0</v>
      </c>
      <c r="H1045" s="150">
        <v>0</v>
      </c>
      <c r="I1045" s="567">
        <f t="shared" si="29"/>
        <v>0</v>
      </c>
    </row>
    <row r="1046" spans="1:9" x14ac:dyDescent="0.15">
      <c r="A1046" s="138"/>
      <c r="B1046" s="521" t="s">
        <v>1581</v>
      </c>
      <c r="C1046" s="138" t="s">
        <v>124</v>
      </c>
      <c r="D1046" s="144">
        <v>0</v>
      </c>
      <c r="E1046" s="144">
        <v>0</v>
      </c>
      <c r="F1046" s="144">
        <v>0</v>
      </c>
      <c r="G1046" s="291">
        <v>0</v>
      </c>
      <c r="H1046" s="150">
        <v>0</v>
      </c>
      <c r="I1046" s="567">
        <f t="shared" si="29"/>
        <v>0</v>
      </c>
    </row>
    <row r="1047" spans="1:9" x14ac:dyDescent="0.15">
      <c r="A1047" s="138"/>
      <c r="B1047" s="521" t="s">
        <v>127</v>
      </c>
      <c r="C1047" s="138" t="s">
        <v>134</v>
      </c>
      <c r="D1047" s="144">
        <v>0</v>
      </c>
      <c r="E1047" s="144">
        <v>0</v>
      </c>
      <c r="F1047" s="144">
        <v>0</v>
      </c>
      <c r="G1047" s="291">
        <v>0</v>
      </c>
      <c r="H1047" s="150">
        <v>0</v>
      </c>
      <c r="I1047" s="567">
        <f t="shared" si="29"/>
        <v>0</v>
      </c>
    </row>
    <row r="1048" spans="1:9" x14ac:dyDescent="0.15">
      <c r="A1048" s="138"/>
      <c r="B1048" s="521" t="s">
        <v>128</v>
      </c>
      <c r="C1048" s="138" t="s">
        <v>135</v>
      </c>
      <c r="D1048" s="144">
        <v>0</v>
      </c>
      <c r="E1048" s="144">
        <v>0</v>
      </c>
      <c r="F1048" s="144">
        <v>0</v>
      </c>
      <c r="G1048" s="291">
        <v>0</v>
      </c>
      <c r="H1048" s="150">
        <v>0</v>
      </c>
      <c r="I1048" s="567">
        <f t="shared" si="29"/>
        <v>0</v>
      </c>
    </row>
    <row r="1049" spans="1:9" x14ac:dyDescent="0.15">
      <c r="A1049" s="138"/>
      <c r="B1049" s="521" t="s">
        <v>132</v>
      </c>
      <c r="C1049" s="138" t="s">
        <v>1617</v>
      </c>
      <c r="D1049" s="144">
        <v>0</v>
      </c>
      <c r="E1049" s="144">
        <v>0</v>
      </c>
      <c r="F1049" s="144">
        <v>0</v>
      </c>
      <c r="G1049" s="291">
        <v>0</v>
      </c>
      <c r="H1049" s="150">
        <v>0</v>
      </c>
      <c r="I1049" s="567">
        <f t="shared" si="29"/>
        <v>0</v>
      </c>
    </row>
    <row r="1050" spans="1:9" x14ac:dyDescent="0.15">
      <c r="A1050" s="138"/>
      <c r="B1050" s="521" t="s">
        <v>1618</v>
      </c>
      <c r="C1050" s="138" t="s">
        <v>836</v>
      </c>
      <c r="D1050" s="144">
        <v>0</v>
      </c>
      <c r="E1050" s="144">
        <v>0</v>
      </c>
      <c r="F1050" s="144">
        <v>0</v>
      </c>
      <c r="G1050" s="291">
        <v>0</v>
      </c>
      <c r="H1050" s="150">
        <v>0</v>
      </c>
      <c r="I1050" s="567">
        <f t="shared" si="29"/>
        <v>0</v>
      </c>
    </row>
    <row r="1051" spans="1:9" x14ac:dyDescent="0.15">
      <c r="A1051" s="138"/>
      <c r="B1051" s="521" t="s">
        <v>1619</v>
      </c>
      <c r="C1051" s="138" t="s">
        <v>837</v>
      </c>
      <c r="D1051" s="144">
        <v>0</v>
      </c>
      <c r="E1051" s="144">
        <v>0</v>
      </c>
      <c r="F1051" s="144">
        <v>0</v>
      </c>
      <c r="G1051" s="291">
        <v>0</v>
      </c>
      <c r="H1051" s="150">
        <v>0</v>
      </c>
      <c r="I1051" s="567">
        <f t="shared" si="29"/>
        <v>0</v>
      </c>
    </row>
    <row r="1052" spans="1:9" x14ac:dyDescent="0.15">
      <c r="A1052" s="138"/>
      <c r="B1052" s="521" t="s">
        <v>1620</v>
      </c>
      <c r="C1052" s="138" t="s">
        <v>838</v>
      </c>
      <c r="D1052" s="144">
        <v>0</v>
      </c>
      <c r="E1052" s="144">
        <v>0</v>
      </c>
      <c r="F1052" s="144">
        <v>0</v>
      </c>
      <c r="G1052" s="291">
        <v>0</v>
      </c>
      <c r="H1052" s="150">
        <v>0</v>
      </c>
      <c r="I1052" s="567">
        <f t="shared" si="29"/>
        <v>0</v>
      </c>
    </row>
    <row r="1053" spans="1:9" x14ac:dyDescent="0.15">
      <c r="A1053" s="138"/>
      <c r="B1053" s="521" t="s">
        <v>1621</v>
      </c>
      <c r="C1053" s="138" t="s">
        <v>839</v>
      </c>
      <c r="D1053" s="144">
        <v>0</v>
      </c>
      <c r="E1053" s="144">
        <v>0</v>
      </c>
      <c r="F1053" s="144">
        <v>0</v>
      </c>
      <c r="G1053" s="291">
        <v>0</v>
      </c>
      <c r="H1053" s="150">
        <v>0</v>
      </c>
      <c r="I1053" s="567">
        <f t="shared" si="29"/>
        <v>0</v>
      </c>
    </row>
    <row r="1054" spans="1:9" x14ac:dyDescent="0.15">
      <c r="A1054" s="138"/>
      <c r="B1054" s="521" t="s">
        <v>1622</v>
      </c>
      <c r="C1054" s="138" t="s">
        <v>190</v>
      </c>
      <c r="D1054" s="144">
        <v>0</v>
      </c>
      <c r="E1054" s="144">
        <v>0</v>
      </c>
      <c r="F1054" s="144">
        <v>0</v>
      </c>
      <c r="G1054" s="291">
        <v>0</v>
      </c>
      <c r="H1054" s="150">
        <v>0</v>
      </c>
      <c r="I1054" s="567">
        <f t="shared" si="29"/>
        <v>0</v>
      </c>
    </row>
    <row r="1055" spans="1:9" x14ac:dyDescent="0.15">
      <c r="A1055" s="138"/>
      <c r="B1055" s="521" t="s">
        <v>1623</v>
      </c>
      <c r="C1055" s="138" t="s">
        <v>191</v>
      </c>
      <c r="D1055" s="144">
        <v>0</v>
      </c>
      <c r="E1055" s="144">
        <v>0</v>
      </c>
      <c r="F1055" s="144">
        <v>0</v>
      </c>
      <c r="G1055" s="291">
        <v>0</v>
      </c>
      <c r="H1055" s="150">
        <v>0</v>
      </c>
      <c r="I1055" s="567">
        <f t="shared" si="29"/>
        <v>0</v>
      </c>
    </row>
    <row r="1056" spans="1:9" x14ac:dyDescent="0.15">
      <c r="A1056" s="138"/>
      <c r="B1056" s="521" t="s">
        <v>1624</v>
      </c>
      <c r="C1056" s="138" t="s">
        <v>840</v>
      </c>
      <c r="D1056" s="144">
        <v>0</v>
      </c>
      <c r="E1056" s="144">
        <v>0</v>
      </c>
      <c r="F1056" s="144">
        <v>0</v>
      </c>
      <c r="G1056" s="291">
        <v>0</v>
      </c>
      <c r="H1056" s="150">
        <v>0</v>
      </c>
      <c r="I1056" s="567">
        <f t="shared" si="29"/>
        <v>0</v>
      </c>
    </row>
    <row r="1057" spans="1:9" x14ac:dyDescent="0.15">
      <c r="A1057" s="138"/>
      <c r="B1057" s="521" t="s">
        <v>1625</v>
      </c>
      <c r="C1057" s="138" t="s">
        <v>842</v>
      </c>
      <c r="D1057" s="144">
        <v>0</v>
      </c>
      <c r="E1057" s="144">
        <v>0</v>
      </c>
      <c r="F1057" s="144">
        <v>0</v>
      </c>
      <c r="G1057" s="291">
        <v>0</v>
      </c>
      <c r="H1057" s="150">
        <v>0</v>
      </c>
      <c r="I1057" s="567">
        <f t="shared" si="29"/>
        <v>0</v>
      </c>
    </row>
    <row r="1058" spans="1:9" x14ac:dyDescent="0.15">
      <c r="A1058" s="138"/>
      <c r="B1058" s="521" t="s">
        <v>843</v>
      </c>
      <c r="C1058" s="138" t="s">
        <v>848</v>
      </c>
      <c r="D1058" s="144">
        <v>0</v>
      </c>
      <c r="E1058" s="144">
        <v>0</v>
      </c>
      <c r="F1058" s="144">
        <v>0</v>
      </c>
      <c r="G1058" s="291">
        <v>0</v>
      </c>
      <c r="H1058" s="150">
        <v>0</v>
      </c>
      <c r="I1058" s="567">
        <f t="shared" si="29"/>
        <v>0</v>
      </c>
    </row>
    <row r="1059" spans="1:9" x14ac:dyDescent="0.15">
      <c r="A1059" s="138"/>
      <c r="B1059" s="521" t="s">
        <v>844</v>
      </c>
      <c r="C1059" s="138" t="s">
        <v>153</v>
      </c>
      <c r="D1059" s="144">
        <v>0</v>
      </c>
      <c r="E1059" s="144">
        <v>0</v>
      </c>
      <c r="F1059" s="144">
        <v>0</v>
      </c>
      <c r="G1059" s="291">
        <v>0</v>
      </c>
      <c r="H1059" s="150">
        <v>0</v>
      </c>
      <c r="I1059" s="567">
        <f t="shared" si="29"/>
        <v>0</v>
      </c>
    </row>
    <row r="1060" spans="1:9" x14ac:dyDescent="0.15">
      <c r="A1060" s="138"/>
      <c r="B1060" s="521" t="s">
        <v>845</v>
      </c>
      <c r="C1060" s="138" t="s">
        <v>154</v>
      </c>
      <c r="D1060" s="144">
        <v>0</v>
      </c>
      <c r="E1060" s="144">
        <v>0</v>
      </c>
      <c r="F1060" s="144">
        <v>0</v>
      </c>
      <c r="G1060" s="291">
        <v>0</v>
      </c>
      <c r="H1060" s="150">
        <v>0</v>
      </c>
      <c r="I1060" s="567">
        <f t="shared" si="29"/>
        <v>0</v>
      </c>
    </row>
    <row r="1061" spans="1:9" x14ac:dyDescent="0.15">
      <c r="A1061" s="138"/>
      <c r="B1061" s="521" t="s">
        <v>846</v>
      </c>
      <c r="C1061" s="138" t="s">
        <v>155</v>
      </c>
      <c r="D1061" s="144">
        <v>0</v>
      </c>
      <c r="E1061" s="144">
        <v>0</v>
      </c>
      <c r="F1061" s="144">
        <v>0</v>
      </c>
      <c r="G1061" s="291">
        <v>0</v>
      </c>
      <c r="H1061" s="150">
        <v>0</v>
      </c>
      <c r="I1061" s="567">
        <f t="shared" si="29"/>
        <v>0</v>
      </c>
    </row>
    <row r="1062" spans="1:9" x14ac:dyDescent="0.15">
      <c r="A1062" s="138"/>
      <c r="B1062" s="521" t="s">
        <v>1582</v>
      </c>
      <c r="C1062" s="138" t="s">
        <v>156</v>
      </c>
      <c r="D1062" s="144">
        <v>0</v>
      </c>
      <c r="E1062" s="144">
        <v>0</v>
      </c>
      <c r="F1062" s="144">
        <v>0</v>
      </c>
      <c r="G1062" s="291">
        <v>0</v>
      </c>
      <c r="H1062" s="150">
        <v>0</v>
      </c>
      <c r="I1062" s="567">
        <f t="shared" si="29"/>
        <v>0</v>
      </c>
    </row>
    <row r="1063" spans="1:9" x14ac:dyDescent="0.15">
      <c r="A1063" s="138"/>
      <c r="B1063" s="521" t="s">
        <v>847</v>
      </c>
      <c r="C1063" s="138" t="s">
        <v>157</v>
      </c>
      <c r="D1063" s="144">
        <v>0</v>
      </c>
      <c r="E1063" s="144">
        <v>0</v>
      </c>
      <c r="F1063" s="144">
        <v>0</v>
      </c>
      <c r="G1063" s="291">
        <v>0</v>
      </c>
      <c r="H1063" s="150">
        <v>0</v>
      </c>
      <c r="I1063" s="567">
        <f t="shared" si="29"/>
        <v>0</v>
      </c>
    </row>
    <row r="1064" spans="1:9" x14ac:dyDescent="0.15">
      <c r="A1064" s="138"/>
      <c r="B1064" s="521" t="s">
        <v>1583</v>
      </c>
      <c r="C1064" s="138" t="s">
        <v>160</v>
      </c>
      <c r="D1064" s="144">
        <v>0</v>
      </c>
      <c r="E1064" s="144">
        <v>0</v>
      </c>
      <c r="F1064" s="144">
        <v>0</v>
      </c>
      <c r="G1064" s="291">
        <v>0</v>
      </c>
      <c r="H1064" s="150">
        <v>0</v>
      </c>
      <c r="I1064" s="567">
        <f t="shared" si="29"/>
        <v>0</v>
      </c>
    </row>
    <row r="1065" spans="1:9" x14ac:dyDescent="0.15">
      <c r="A1065" s="138"/>
      <c r="B1065" s="521" t="s">
        <v>634</v>
      </c>
      <c r="C1065" s="138" t="s">
        <v>165</v>
      </c>
      <c r="D1065" s="144">
        <v>0</v>
      </c>
      <c r="E1065" s="144">
        <v>0</v>
      </c>
      <c r="F1065" s="144">
        <v>0</v>
      </c>
      <c r="G1065" s="291">
        <v>0</v>
      </c>
      <c r="H1065" s="150">
        <v>0</v>
      </c>
      <c r="I1065" s="567">
        <f t="shared" si="29"/>
        <v>0</v>
      </c>
    </row>
    <row r="1066" spans="1:9" x14ac:dyDescent="0.15">
      <c r="A1066" s="138"/>
      <c r="B1066" s="521" t="s">
        <v>630</v>
      </c>
      <c r="C1066" s="138" t="s">
        <v>172</v>
      </c>
      <c r="D1066" s="144">
        <v>0</v>
      </c>
      <c r="E1066" s="144">
        <v>0</v>
      </c>
      <c r="F1066" s="144">
        <v>0</v>
      </c>
      <c r="G1066" s="291">
        <v>0</v>
      </c>
      <c r="H1066" s="150">
        <v>0</v>
      </c>
      <c r="I1066" s="567">
        <f t="shared" si="29"/>
        <v>0</v>
      </c>
    </row>
    <row r="1067" spans="1:9" x14ac:dyDescent="0.15">
      <c r="A1067" s="138"/>
      <c r="B1067" s="650" t="s">
        <v>631</v>
      </c>
      <c r="C1067" s="651" t="s">
        <v>173</v>
      </c>
      <c r="D1067" s="144">
        <v>0</v>
      </c>
      <c r="E1067" s="144">
        <v>0</v>
      </c>
      <c r="F1067" s="144">
        <v>0</v>
      </c>
      <c r="G1067" s="291">
        <v>0</v>
      </c>
      <c r="H1067" s="150">
        <v>0</v>
      </c>
      <c r="I1067" s="567">
        <f t="shared" si="29"/>
        <v>0</v>
      </c>
    </row>
    <row r="1068" spans="1:9" x14ac:dyDescent="0.15">
      <c r="A1068" s="138"/>
      <c r="B1068" s="521" t="s">
        <v>1584</v>
      </c>
      <c r="C1068" s="138" t="s">
        <v>178</v>
      </c>
      <c r="D1068" s="144">
        <v>0</v>
      </c>
      <c r="E1068" s="144">
        <v>0</v>
      </c>
      <c r="F1068" s="144">
        <v>0</v>
      </c>
      <c r="G1068" s="291">
        <v>0</v>
      </c>
      <c r="H1068" s="150">
        <v>0</v>
      </c>
      <c r="I1068" s="567">
        <f t="shared" si="29"/>
        <v>0</v>
      </c>
    </row>
    <row r="1069" spans="1:9" x14ac:dyDescent="0.15">
      <c r="A1069" s="138"/>
      <c r="B1069" s="521" t="s">
        <v>174</v>
      </c>
      <c r="C1069" s="138" t="s">
        <v>179</v>
      </c>
      <c r="D1069" s="144">
        <v>0</v>
      </c>
      <c r="E1069" s="144">
        <v>0</v>
      </c>
      <c r="F1069" s="144">
        <v>0</v>
      </c>
      <c r="G1069" s="291">
        <v>0</v>
      </c>
      <c r="H1069" s="150">
        <v>0</v>
      </c>
      <c r="I1069" s="567">
        <f t="shared" si="29"/>
        <v>0</v>
      </c>
    </row>
    <row r="1070" spans="1:9" x14ac:dyDescent="0.15">
      <c r="A1070" s="138"/>
      <c r="B1070" s="521" t="s">
        <v>175</v>
      </c>
      <c r="C1070" s="138" t="s">
        <v>180</v>
      </c>
      <c r="D1070" s="144">
        <v>0</v>
      </c>
      <c r="E1070" s="144">
        <v>0</v>
      </c>
      <c r="F1070" s="144">
        <v>0</v>
      </c>
      <c r="G1070" s="291">
        <v>0</v>
      </c>
      <c r="H1070" s="150">
        <v>0</v>
      </c>
      <c r="I1070" s="567">
        <f t="shared" si="29"/>
        <v>0</v>
      </c>
    </row>
    <row r="1071" spans="1:9" ht="11.25" thickBot="1" x14ac:dyDescent="0.2">
      <c r="A1071" s="138"/>
      <c r="B1071" s="521" t="s">
        <v>176</v>
      </c>
      <c r="C1071" s="138" t="s">
        <v>181</v>
      </c>
      <c r="D1071" s="144">
        <v>0</v>
      </c>
      <c r="E1071" s="144">
        <v>0</v>
      </c>
      <c r="F1071" s="144">
        <v>0</v>
      </c>
      <c r="G1071" s="291">
        <v>0</v>
      </c>
      <c r="H1071" s="150">
        <v>0</v>
      </c>
      <c r="I1071" s="567">
        <f t="shared" si="29"/>
        <v>0</v>
      </c>
    </row>
    <row r="1072" spans="1:9" ht="12" thickTop="1" thickBot="1" x14ac:dyDescent="0.2">
      <c r="A1072" s="138"/>
      <c r="B1072" s="521"/>
      <c r="C1072" s="138" t="s">
        <v>388</v>
      </c>
      <c r="D1072" s="169">
        <f>SUM(D1038:D1071)</f>
        <v>0</v>
      </c>
      <c r="E1072" s="169">
        <f>SUM(E1038:E1071)</f>
        <v>0</v>
      </c>
      <c r="F1072" s="169">
        <f>SUM(F1038:F1071)</f>
        <v>0</v>
      </c>
      <c r="G1072" s="169">
        <f>SUM(G1038:G1071)</f>
        <v>0</v>
      </c>
      <c r="H1072" s="169">
        <f>SUM(H1038:H1071)</f>
        <v>0</v>
      </c>
      <c r="I1072" s="169">
        <f>SUM(G1072+H1072)</f>
        <v>0</v>
      </c>
    </row>
    <row r="1073" spans="1:9" ht="12" thickTop="1" thickBot="1" x14ac:dyDescent="0.2">
      <c r="A1073" s="138"/>
      <c r="B1073" s="138"/>
      <c r="C1073" s="138"/>
      <c r="D1073" s="14"/>
      <c r="E1073" s="14"/>
      <c r="F1073" s="14"/>
      <c r="G1073" s="14"/>
      <c r="H1073" s="14"/>
      <c r="I1073" s="563"/>
    </row>
    <row r="1074" spans="1:9" ht="12" thickTop="1" thickBot="1" x14ac:dyDescent="0.2">
      <c r="B1074" s="138" t="s">
        <v>1500</v>
      </c>
      <c r="D1074" s="169">
        <f>D44+D80+D116+D152+D188+D223+D259+D295+D331+D367+D405+D442+D479+D516+D553+D590+D627+D665+D702+D739+D776+D813+D850+D887+D924+D961+D998+D1035+D1072</f>
        <v>0</v>
      </c>
      <c r="E1074" s="169">
        <f>E44+E80+E116+E152+E188+E223+E259+E295+E331+E367+E405+E442+E479+E516+E553+E590+E627+E665+E702+E739+E776+E813+E850+E887+E924+E961+E998+E1035+E1072</f>
        <v>0</v>
      </c>
      <c r="F1074" s="169">
        <f>F44+F80+F116+F152+F188+F223+F259+F295+F331+F367+F405+F442+F479+F516+F553+F590+F627+F665+F702+F739+F776+F813+F850+F887+F924+F961+F998+F1035+F1072</f>
        <v>0</v>
      </c>
      <c r="G1074" s="169">
        <f>G44+G80+G116+G152+G188+G223+G259+G295+G331+G367+G405+G442+G479+G516+G553+G590+G627+G665+G702+G739+G776+G813+G850+G887+G924+G961+G998+G1035+G1072</f>
        <v>0</v>
      </c>
      <c r="H1074" s="169">
        <f>H44+H80+H116+H152+H188+H223+H259+H295+H331+H367+H405+H442+H479+H516+H553+H590+H627+H665+H702+H739+H776+H813+H850+H887+H924+H961+H998+H1035+H1072</f>
        <v>0</v>
      </c>
      <c r="I1074" s="169">
        <f>SUM(G1074+H1074)</f>
        <v>0</v>
      </c>
    </row>
    <row r="1075" spans="1:9" ht="11.25" thickTop="1" x14ac:dyDescent="0.15">
      <c r="C1075" s="138"/>
      <c r="I1075" s="167"/>
    </row>
    <row r="1076" spans="1:9" x14ac:dyDescent="0.15">
      <c r="D1076" s="498"/>
      <c r="E1076" s="498"/>
      <c r="F1076" s="498"/>
      <c r="G1076" s="498"/>
      <c r="I1076" s="167"/>
    </row>
    <row r="1077" spans="1:9" x14ac:dyDescent="0.15">
      <c r="A1077" s="167" t="s">
        <v>407</v>
      </c>
      <c r="B1077" s="167"/>
      <c r="C1077" s="167"/>
      <c r="D1077" s="498"/>
      <c r="E1077" s="498"/>
      <c r="F1077" s="498"/>
      <c r="G1077" s="498"/>
    </row>
    <row r="1078" spans="1:9" x14ac:dyDescent="0.15">
      <c r="A1078" s="167"/>
      <c r="B1078" s="167"/>
      <c r="C1078" s="167"/>
      <c r="D1078" s="498"/>
      <c r="E1078" s="498"/>
      <c r="F1078" s="498"/>
      <c r="G1078" s="498"/>
    </row>
    <row r="1079" spans="1:9" ht="18.75" x14ac:dyDescent="0.3">
      <c r="A1079" s="152" t="s">
        <v>1577</v>
      </c>
      <c r="B1079" s="615">
        <f>SUM(I11+I12+I47+I48+I83+I84+I119+I120+I155+I156+I191+I192+I226+I227+I262+I263+I298+I299+I334+I335+I371+I372+I408+I409+I445+I446+I482+I483+I519+I520+I556+I557+I593+I594+I630+I631+I668+I669+I705+I706+I742+I743+I779+I780+I816+I817+I853+I854+I890+I891+I927+I928+I964+I965+I1001+I1002+I1038+I1039)</f>
        <v>0</v>
      </c>
      <c r="C1079" s="167"/>
      <c r="D1079" s="498"/>
      <c r="E1079" s="498"/>
      <c r="F1079" s="498"/>
      <c r="G1079" s="498"/>
    </row>
    <row r="1080" spans="1:9" ht="18.75" x14ac:dyDescent="0.3">
      <c r="A1080" s="152" t="s">
        <v>1578</v>
      </c>
      <c r="B1080" s="615">
        <f>SUM(I14+I13+I50+I49+I86+I85+I122+I121+I158+I157+I194+I193+I229+I228+I265+I264+I301+I300+I337+I336+I374+I373+I411+I410+I448+I447+I485+I484+I522+I521+I559+I558+I596+I595+I633+I632+I671+I670+I708+I707+I745+I744+I782+I781+I819+I818+I856+I855+I893+I892+I930+I929+I967+I966+I1004+I1003+I1041+I1040)</f>
        <v>0</v>
      </c>
      <c r="C1080" s="616"/>
      <c r="D1080" s="525"/>
      <c r="E1080" s="525"/>
      <c r="F1080" s="525"/>
      <c r="G1080" s="498"/>
    </row>
    <row r="1081" spans="1:9" ht="18.75" x14ac:dyDescent="0.3">
      <c r="A1081" s="152" t="s">
        <v>1579</v>
      </c>
      <c r="B1081" s="615">
        <f>SUM(CharterFundExp!I15+CharterFundExp!I51+CharterFundExp!I87+CharterFundExp!I123+CharterFundExp!I159+CharterFundExp!I195+CharterFundExp!I230+CharterFundExp!I266+CharterFundExp!I302+CharterFundExp!I338+CharterFundExp!I375+CharterFundExp!I412+CharterFundExp!I449+CharterFundExp!I486+CharterFundExp!I523+CharterFundExp!I560+CharterFundExp!I597+CharterFundExp!I634+CharterFundExp!I672+CharterFundExp!I709+CharterFundExp!I746+CharterFundExp!I783+CharterFundExp!I820+CharterFundExp!I857+CharterFundExp!I894+CharterFundExp!I931+CharterFundExp!I968+CharterFundExp!I1005+CharterFundExp!I1042)</f>
        <v>0</v>
      </c>
      <c r="C1081" s="167"/>
    </row>
    <row r="1082" spans="1:9" ht="18.75" x14ac:dyDescent="0.3">
      <c r="A1082" s="152" t="s">
        <v>1580</v>
      </c>
      <c r="B1082" s="615">
        <f>SUM(CharterFundExp!I16+CharterFundExp!I52+CharterFundExp!I88+CharterFundExp!I124+CharterFundExp!I160+CharterFundExp!I196+CharterFundExp!I231+CharterFundExp!I267+CharterFundExp!I303+CharterFundExp!I339+CharterFundExp!I376+CharterFundExp!I413+CharterFundExp!I450+CharterFundExp!I487+CharterFundExp!I524+CharterFundExp!I561+CharterFundExp!I598+CharterFundExp!I635+CharterFundExp!I673+CharterFundExp!I710+CharterFundExp!I747+CharterFundExp!I784+CharterFundExp!I821+CharterFundExp!I858+CharterFundExp!I895+CharterFundExp!I932+CharterFundExp!I969+CharterFundExp!I1006+CharterFundExp!I1043)</f>
        <v>0</v>
      </c>
      <c r="C1082" s="167"/>
    </row>
    <row r="1083" spans="1:9" ht="18.75" x14ac:dyDescent="0.3">
      <c r="A1083" s="152" t="s">
        <v>120</v>
      </c>
      <c r="B1083" s="615">
        <f>SUM(CharterFundExp!I17+CharterFundExp!I53+CharterFundExp!I89+CharterFundExp!I125+CharterFundExp!I161+CharterFundExp!I197+CharterFundExp!I232+CharterFundExp!I268+CharterFundExp!I304+CharterFundExp!I340+CharterFundExp!I377+CharterFundExp!I414+CharterFundExp!I451+CharterFundExp!I488+CharterFundExp!I525+CharterFundExp!I562+CharterFundExp!I599+CharterFundExp!I636+CharterFundExp!I674+CharterFundExp!I711+CharterFundExp!I748+CharterFundExp!I785+CharterFundExp!I822+CharterFundExp!I859+CharterFundExp!I896+CharterFundExp!I933+CharterFundExp!I970+CharterFundExp!I1007+CharterFundExp!I1044)</f>
        <v>0</v>
      </c>
      <c r="C1083" s="167"/>
    </row>
    <row r="1084" spans="1:9" ht="18.75" x14ac:dyDescent="0.3">
      <c r="A1084" s="152" t="s">
        <v>122</v>
      </c>
      <c r="B1084" s="615">
        <f>SUM(CharterFundExp!I18+CharterFundExp!I54+CharterFundExp!I90+CharterFundExp!I126+CharterFundExp!I162+CharterFundExp!I198+CharterFundExp!I233+CharterFundExp!I269+CharterFundExp!I305+CharterFundExp!I341+CharterFundExp!I378+CharterFundExp!I415+CharterFundExp!I452+CharterFundExp!I489+CharterFundExp!I526+CharterFundExp!I563+CharterFundExp!I600+CharterFundExp!I637+CharterFundExp!I675+CharterFundExp!I712+CharterFundExp!I749+CharterFundExp!I786+CharterFundExp!I823+CharterFundExp!I860+CharterFundExp!I897+CharterFundExp!I934+CharterFundExp!I971+CharterFundExp!I1008+CharterFundExp!I1045)</f>
        <v>0</v>
      </c>
      <c r="C1084" s="167"/>
    </row>
    <row r="1085" spans="1:9" ht="18.75" x14ac:dyDescent="0.3">
      <c r="A1085" s="152" t="s">
        <v>1581</v>
      </c>
      <c r="B1085" s="615">
        <f>SUM(CharterFundExp!I19+CharterFundExp!I55+CharterFundExp!I91+CharterFundExp!I127+CharterFundExp!I163+CharterFundExp!I199+CharterFundExp!I234+CharterFundExp!I270+CharterFundExp!I306+CharterFundExp!I342+CharterFundExp!I379+CharterFundExp!I416+CharterFundExp!I453+CharterFundExp!I490+CharterFundExp!I527+CharterFundExp!I564+CharterFundExp!I601+CharterFundExp!I638+CharterFundExp!I676+CharterFundExp!I713+CharterFundExp!I750+CharterFundExp!I787+CharterFundExp!I824+CharterFundExp!I861+CharterFundExp!I898+CharterFundExp!I935+CharterFundExp!I972+CharterFundExp!I1009+CharterFundExp!I1046)</f>
        <v>0</v>
      </c>
      <c r="C1085" s="167"/>
    </row>
    <row r="1086" spans="1:9" ht="18.75" x14ac:dyDescent="0.3">
      <c r="A1086" s="152" t="s">
        <v>127</v>
      </c>
      <c r="B1086" s="615">
        <f>SUM(CharterFundExp!I20+CharterFundExp!I56+CharterFundExp!I92+CharterFundExp!I128+CharterFundExp!I164+CharterFundExp!I200+CharterFundExp!I235+CharterFundExp!I271+CharterFundExp!I307+CharterFundExp!I343+CharterFundExp!I380+CharterFundExp!I417+CharterFundExp!I454+CharterFundExp!I491+CharterFundExp!I528+CharterFundExp!I565+CharterFundExp!I602+CharterFundExp!I639+CharterFundExp!I677+CharterFundExp!I714+CharterFundExp!I751+CharterFundExp!I788+CharterFundExp!I825+CharterFundExp!I862+CharterFundExp!I899+CharterFundExp!I936+CharterFundExp!I973+CharterFundExp!I1010+CharterFundExp!I1047)</f>
        <v>0</v>
      </c>
      <c r="C1086" s="167"/>
    </row>
    <row r="1087" spans="1:9" ht="18.75" x14ac:dyDescent="0.3">
      <c r="A1087" s="152" t="s">
        <v>128</v>
      </c>
      <c r="B1087" s="615">
        <f>SUM(CharterFundExp!I21+CharterFundExp!I57+CharterFundExp!I93+CharterFundExp!I129+CharterFundExp!I165+CharterFundExp!I201+CharterFundExp!I236+CharterFundExp!I272+CharterFundExp!I308+CharterFundExp!I344+CharterFundExp!I381+CharterFundExp!I418+CharterFundExp!I455+CharterFundExp!I492+CharterFundExp!I529+CharterFundExp!I566+CharterFundExp!I603+CharterFundExp!I640+CharterFundExp!I678+CharterFundExp!I715+CharterFundExp!I752+CharterFundExp!I789+CharterFundExp!I826+CharterFundExp!I863+CharterFundExp!I900+CharterFundExp!I937+CharterFundExp!I974+CharterFundExp!I1011+CharterFundExp!I1048)</f>
        <v>0</v>
      </c>
      <c r="C1087" s="167"/>
    </row>
    <row r="1088" spans="1:9" ht="18.75" x14ac:dyDescent="0.3">
      <c r="A1088" s="152" t="s">
        <v>132</v>
      </c>
      <c r="B1088" s="615">
        <f>SUM(CharterFundExp!I22+CharterFundExp!I58+CharterFundExp!I94+CharterFundExp!I130+CharterFundExp!I166+CharterFundExp!I202+CharterFundExp!I237+CharterFundExp!I273+CharterFundExp!I309+CharterFundExp!I345+CharterFundExp!I382+CharterFundExp!I419+CharterFundExp!I456+CharterFundExp!I493+CharterFundExp!I530+CharterFundExp!I567+CharterFundExp!I604+CharterFundExp!I641+CharterFundExp!I679+CharterFundExp!I716+CharterFundExp!I753+CharterFundExp!I790+CharterFundExp!I827+CharterFundExp!I864+CharterFundExp!I901+CharterFundExp!I938+CharterFundExp!I975+CharterFundExp!I1012+CharterFundExp!I1049)</f>
        <v>0</v>
      </c>
      <c r="C1088" s="167"/>
    </row>
    <row r="1089" spans="1:3" ht="18.75" x14ac:dyDescent="0.3">
      <c r="A1089" s="152" t="s">
        <v>1618</v>
      </c>
      <c r="B1089" s="615">
        <f>SUM(CharterFundExp!I23+CharterFundExp!I59+CharterFundExp!I95+CharterFundExp!I131+CharterFundExp!I167+CharterFundExp!I203+CharterFundExp!I238+CharterFundExp!I274+CharterFundExp!I310+CharterFundExp!I346+CharterFundExp!I383+CharterFundExp!I420+CharterFundExp!I457+CharterFundExp!I494+CharterFundExp!I531+CharterFundExp!I568+CharterFundExp!I605+CharterFundExp!I642+CharterFundExp!I680+CharterFundExp!I717+CharterFundExp!I754+CharterFundExp!I791+CharterFundExp!I828+CharterFundExp!I865+CharterFundExp!I902+CharterFundExp!I939+CharterFundExp!I976+CharterFundExp!I1013+CharterFundExp!I1050)</f>
        <v>0</v>
      </c>
      <c r="C1089" s="167"/>
    </row>
    <row r="1090" spans="1:3" ht="18.75" x14ac:dyDescent="0.3">
      <c r="A1090" s="152" t="s">
        <v>1619</v>
      </c>
      <c r="B1090" s="615">
        <f>SUM(CharterFundExp!I24+CharterFundExp!I60+CharterFundExp!I96+CharterFundExp!I132+CharterFundExp!I168+CharterFundExp!I204+CharterFundExp!I239+CharterFundExp!I275+CharterFundExp!I311+CharterFundExp!I347+CharterFundExp!I384+CharterFundExp!I421+CharterFundExp!I458+CharterFundExp!I495+CharterFundExp!I532+CharterFundExp!I569+CharterFundExp!I606+CharterFundExp!I643+CharterFundExp!I681+CharterFundExp!I718+CharterFundExp!I755+CharterFundExp!I792+CharterFundExp!I829+CharterFundExp!I866+CharterFundExp!I903+CharterFundExp!I940+CharterFundExp!I977+CharterFundExp!I1014+CharterFundExp!I1051)</f>
        <v>0</v>
      </c>
      <c r="C1090" s="167"/>
    </row>
    <row r="1091" spans="1:3" ht="18.75" x14ac:dyDescent="0.3">
      <c r="A1091" s="152" t="s">
        <v>1620</v>
      </c>
      <c r="B1091" s="615">
        <f>SUM(CharterFundExp!I25+CharterFundExp!I61+CharterFundExp!I97+CharterFundExp!I133+CharterFundExp!I169+CharterFundExp!I205+CharterFundExp!I240+CharterFundExp!I276+CharterFundExp!I312+CharterFundExp!I348+CharterFundExp!I385+CharterFundExp!I422+CharterFundExp!I459+CharterFundExp!I496+CharterFundExp!I533+CharterFundExp!I570+CharterFundExp!I607+CharterFundExp!I644+CharterFundExp!I682+CharterFundExp!I719+CharterFundExp!I756+CharterFundExp!I793+CharterFundExp!I830+CharterFundExp!I867+CharterFundExp!I904+CharterFundExp!I941+CharterFundExp!I978+CharterFundExp!I1015+CharterFundExp!I1052)</f>
        <v>0</v>
      </c>
      <c r="C1091" s="167"/>
    </row>
    <row r="1092" spans="1:3" ht="18.75" x14ac:dyDescent="0.3">
      <c r="A1092" s="152" t="s">
        <v>1621</v>
      </c>
      <c r="B1092" s="615">
        <f>SUM(CharterFundExp!I26+CharterFundExp!I62+CharterFundExp!I98+CharterFundExp!I134+CharterFundExp!I170+CharterFundExp!I206+CharterFundExp!I241+CharterFundExp!I277+CharterFundExp!I313+CharterFundExp!I349+CharterFundExp!I386+CharterFundExp!I423+CharterFundExp!I460+CharterFundExp!I497+CharterFundExp!I534+CharterFundExp!I571+CharterFundExp!I608+CharterFundExp!I645+CharterFundExp!I683+CharterFundExp!I720+CharterFundExp!I757+CharterFundExp!I794+CharterFundExp!I831+CharterFundExp!I868+CharterFundExp!I905+CharterFundExp!I942+CharterFundExp!I979+CharterFundExp!I1016+CharterFundExp!I1053)</f>
        <v>0</v>
      </c>
      <c r="C1092" s="167"/>
    </row>
    <row r="1093" spans="1:3" ht="18.75" x14ac:dyDescent="0.3">
      <c r="A1093" s="152" t="s">
        <v>1622</v>
      </c>
      <c r="B1093" s="615">
        <f>SUM(CharterFundExp!I27+CharterFundExp!I63+CharterFundExp!I99+CharterFundExp!I135+CharterFundExp!I171+CharterFundExp!I207+CharterFundExp!I242+CharterFundExp!I278+CharterFundExp!I314+CharterFundExp!I350+CharterFundExp!I387+CharterFundExp!I424+CharterFundExp!I461+CharterFundExp!I498+CharterFundExp!I535+CharterFundExp!I572+CharterFundExp!I609+CharterFundExp!I646+CharterFundExp!I684+CharterFundExp!I721+CharterFundExp!I758+CharterFundExp!I795+CharterFundExp!I832+CharterFundExp!I869+CharterFundExp!I906+CharterFundExp!I943+CharterFundExp!I980+CharterFundExp!I1017+CharterFundExp!I1054)</f>
        <v>0</v>
      </c>
      <c r="C1093" s="167"/>
    </row>
    <row r="1094" spans="1:3" ht="18.75" x14ac:dyDescent="0.3">
      <c r="A1094" s="152" t="s">
        <v>1623</v>
      </c>
      <c r="B1094" s="615">
        <f>SUM(CharterFundExp!I28+CharterFundExp!I64+CharterFundExp!I100+CharterFundExp!I136+CharterFundExp!I172+CharterFundExp!I208+CharterFundExp!I243+CharterFundExp!I279+CharterFundExp!I315+CharterFundExp!I351+CharterFundExp!I388+CharterFundExp!I425+CharterFundExp!I462+CharterFundExp!I499+CharterFundExp!I536+CharterFundExp!I573+CharterFundExp!I610+CharterFundExp!I647+CharterFundExp!I685+CharterFundExp!I722+CharterFundExp!I759+CharterFundExp!I796+CharterFundExp!I833+CharterFundExp!I870+CharterFundExp!I907+CharterFundExp!I944+CharterFundExp!I981+CharterFundExp!I1018+CharterFundExp!I1055)</f>
        <v>0</v>
      </c>
      <c r="C1094" s="167"/>
    </row>
    <row r="1095" spans="1:3" ht="18.75" x14ac:dyDescent="0.3">
      <c r="A1095" s="152" t="s">
        <v>1624</v>
      </c>
      <c r="B1095" s="615">
        <f>SUM(CharterFundExp!I29+CharterFundExp!I65+CharterFundExp!I101+CharterFundExp!I137+CharterFundExp!I173+CharterFundExp!I209+CharterFundExp!I244+CharterFundExp!I280+CharterFundExp!I316+CharterFundExp!I352+CharterFundExp!I389+CharterFundExp!I426+CharterFundExp!I463+CharterFundExp!I500+CharterFundExp!I537+CharterFundExp!I574+CharterFundExp!I611+CharterFundExp!I648+CharterFundExp!I686+CharterFundExp!I723+CharterFundExp!I760+CharterFundExp!I797+CharterFundExp!I834+CharterFundExp!I871+CharterFundExp!I908+CharterFundExp!I945+CharterFundExp!I982+CharterFundExp!I1019+CharterFundExp!I1056)</f>
        <v>0</v>
      </c>
      <c r="C1095" s="167"/>
    </row>
    <row r="1096" spans="1:3" ht="18.75" x14ac:dyDescent="0.3">
      <c r="A1096" s="152" t="s">
        <v>1625</v>
      </c>
      <c r="B1096" s="615">
        <f>SUM(CharterFundExp!I30+CharterFundExp!I66+CharterFundExp!I102+CharterFundExp!I138+CharterFundExp!I174+CharterFundExp!I210+CharterFundExp!I245+CharterFundExp!I281+CharterFundExp!I317+CharterFundExp!I353+CharterFundExp!I390+CharterFundExp!I427+CharterFundExp!I464+CharterFundExp!I501+CharterFundExp!I538+CharterFundExp!I575+CharterFundExp!I612+CharterFundExp!I649+CharterFundExp!I687+CharterFundExp!I724+CharterFundExp!I761+CharterFundExp!I798+CharterFundExp!I835+CharterFundExp!I872+CharterFundExp!I909+CharterFundExp!I946+CharterFundExp!I983+CharterFundExp!I1020+CharterFundExp!I1057)</f>
        <v>0</v>
      </c>
      <c r="C1096" s="167"/>
    </row>
    <row r="1097" spans="1:3" ht="18.75" x14ac:dyDescent="0.3">
      <c r="A1097" s="152" t="s">
        <v>843</v>
      </c>
      <c r="B1097" s="615">
        <f>SUM(CharterFundExp!I31+CharterFundExp!I67+CharterFundExp!I103+CharterFundExp!I139+CharterFundExp!I175+CharterFundExp!I211+CharterFundExp!I246+CharterFundExp!I282+CharterFundExp!I318+CharterFundExp!I354+CharterFundExp!I391+CharterFundExp!I428+CharterFundExp!I465+CharterFundExp!I502+CharterFundExp!I539+CharterFundExp!I576+CharterFundExp!I613+CharterFundExp!I650+CharterFundExp!I688+CharterFundExp!I725+CharterFundExp!I762+CharterFundExp!I799+CharterFundExp!I836+CharterFundExp!I873+CharterFundExp!I910+CharterFundExp!I947+CharterFundExp!I984+CharterFundExp!I1021+CharterFundExp!I1058)</f>
        <v>0</v>
      </c>
      <c r="C1097" s="167"/>
    </row>
    <row r="1098" spans="1:3" ht="18.75" x14ac:dyDescent="0.3">
      <c r="A1098" s="152" t="s">
        <v>844</v>
      </c>
      <c r="B1098" s="615">
        <f>SUM(CharterFundExp!I32+CharterFundExp!I68+CharterFundExp!I104+CharterFundExp!I140+CharterFundExp!I176+CharterFundExp!I212+CharterFundExp!I247+CharterFundExp!I283+CharterFundExp!I319+CharterFundExp!I355+CharterFundExp!I392+CharterFundExp!I429+CharterFundExp!I466+CharterFundExp!I503+CharterFundExp!I540+CharterFundExp!I577+CharterFundExp!I614+CharterFundExp!I651+CharterFundExp!I689+CharterFundExp!I726+CharterFundExp!I763+CharterFundExp!I800+CharterFundExp!I837+CharterFundExp!I874+CharterFundExp!I911+CharterFundExp!I948+CharterFundExp!I985+CharterFundExp!I1022+CharterFundExp!I1059)</f>
        <v>0</v>
      </c>
      <c r="C1098" s="167"/>
    </row>
    <row r="1099" spans="1:3" ht="18.75" x14ac:dyDescent="0.3">
      <c r="A1099" s="152" t="s">
        <v>845</v>
      </c>
      <c r="B1099" s="615">
        <f>SUM(CharterFundExp!I33+CharterFundExp!I69+CharterFundExp!I105+CharterFundExp!I141+CharterFundExp!I177+CharterFundExp!I213+CharterFundExp!I248+CharterFundExp!I284+CharterFundExp!I320+CharterFundExp!I356+CharterFundExp!I393+CharterFundExp!I430+CharterFundExp!I467+CharterFundExp!I504+CharterFundExp!I541+CharterFundExp!I578+CharterFundExp!I615+CharterFundExp!I652+CharterFundExp!I690+CharterFundExp!I727+CharterFundExp!I764+CharterFundExp!I801+CharterFundExp!I838+CharterFundExp!I875+CharterFundExp!I912+CharterFundExp!I949+CharterFundExp!I986+CharterFundExp!I1023+CharterFundExp!I1060)</f>
        <v>0</v>
      </c>
      <c r="C1099" s="167"/>
    </row>
    <row r="1100" spans="1:3" ht="18.75" x14ac:dyDescent="0.3">
      <c r="A1100" s="152" t="s">
        <v>846</v>
      </c>
      <c r="B1100" s="615">
        <f>SUM(CharterFundExp!I34+CharterFundExp!I70+CharterFundExp!I106+CharterFundExp!I142+CharterFundExp!I178+CharterFundExp!I214+CharterFundExp!I249+CharterFundExp!I285+CharterFundExp!I321+CharterFundExp!I357+CharterFundExp!I394+CharterFundExp!I431+CharterFundExp!I468+CharterFundExp!I505+CharterFundExp!I542+CharterFundExp!I579+CharterFundExp!I616+CharterFundExp!I653+CharterFundExp!I691+CharterFundExp!I728+CharterFundExp!I765+CharterFundExp!I802+CharterFundExp!I839+CharterFundExp!I876+CharterFundExp!I913+CharterFundExp!I950+CharterFundExp!I987+CharterFundExp!I1024+CharterFundExp!I1061)</f>
        <v>0</v>
      </c>
      <c r="C1100" s="167"/>
    </row>
    <row r="1101" spans="1:3" ht="18.75" x14ac:dyDescent="0.3">
      <c r="A1101" s="152" t="s">
        <v>1582</v>
      </c>
      <c r="B1101" s="615">
        <f>SUM(CharterFundExp!I35+CharterFundExp!I71+CharterFundExp!I107+CharterFundExp!I143+CharterFundExp!I179+CharterFundExp!I215+CharterFundExp!I250+CharterFundExp!I286+CharterFundExp!I322+CharterFundExp!I358+CharterFundExp!I395+CharterFundExp!I432+CharterFundExp!I469+CharterFundExp!I506+CharterFundExp!I543+CharterFundExp!I580+CharterFundExp!I617+CharterFundExp!I654+CharterFundExp!I692+CharterFundExp!I729+CharterFundExp!I766+CharterFundExp!I803+CharterFundExp!I840+CharterFundExp!I877+CharterFundExp!I914+CharterFundExp!I951+CharterFundExp!I988+CharterFundExp!I1025+CharterFundExp!I1062)</f>
        <v>0</v>
      </c>
      <c r="C1101" s="167"/>
    </row>
    <row r="1102" spans="1:3" ht="18.75" x14ac:dyDescent="0.3">
      <c r="A1102" s="152" t="s">
        <v>847</v>
      </c>
      <c r="B1102" s="615">
        <f>SUM(CharterFundExp!I36+CharterFundExp!I72+CharterFundExp!I108+CharterFundExp!I144+CharterFundExp!I180+CharterFundExp!I216+CharterFundExp!I251+CharterFundExp!I287+CharterFundExp!I323+CharterFundExp!I359+CharterFundExp!I396+CharterFundExp!I433+CharterFundExp!I470+CharterFundExp!I507+CharterFundExp!I544+CharterFundExp!I581+CharterFundExp!I618+CharterFundExp!I655+CharterFundExp!I693+CharterFundExp!I730+CharterFundExp!I767+CharterFundExp!I804+CharterFundExp!I841+CharterFundExp!I878+CharterFundExp!I915+CharterFundExp!I952+CharterFundExp!I989+CharterFundExp!I1026+CharterFundExp!I1063)</f>
        <v>0</v>
      </c>
      <c r="C1102" s="167"/>
    </row>
    <row r="1103" spans="1:3" ht="18.75" x14ac:dyDescent="0.3">
      <c r="A1103" s="152" t="s">
        <v>1583</v>
      </c>
      <c r="B1103" s="615">
        <f>SUM(CharterFundExp!I37+CharterFundExp!I73+CharterFundExp!I109+CharterFundExp!I145+CharterFundExp!I181+CharterFundExp!I217+CharterFundExp!I252+CharterFundExp!I288+CharterFundExp!I324+CharterFundExp!I360+CharterFundExp!I397+CharterFundExp!I434+CharterFundExp!I471+CharterFundExp!I508+CharterFundExp!I545+CharterFundExp!I582+CharterFundExp!I619+CharterFundExp!I656+CharterFundExp!I694+CharterFundExp!I731+CharterFundExp!I768+CharterFundExp!I805+CharterFundExp!I842+CharterFundExp!I879+CharterFundExp!I916+CharterFundExp!I953+CharterFundExp!I990+CharterFundExp!I1027+CharterFundExp!I1064)</f>
        <v>0</v>
      </c>
      <c r="C1103" s="167"/>
    </row>
    <row r="1104" spans="1:3" ht="18.75" x14ac:dyDescent="0.3">
      <c r="A1104" s="152" t="s">
        <v>634</v>
      </c>
      <c r="B1104" s="615">
        <f>SUM(CharterFundExp!I38+CharterFundExp!I74+CharterFundExp!I110+CharterFundExp!I146+CharterFundExp!I182+CharterFundExp!I218+CharterFundExp!I253+CharterFundExp!I289+CharterFundExp!I325+CharterFundExp!I361+CharterFundExp!I398+CharterFundExp!I435+CharterFundExp!I472+CharterFundExp!I509+CharterFundExp!I546+CharterFundExp!I583+CharterFundExp!I620+CharterFundExp!I657+CharterFundExp!I695+CharterFundExp!I732+CharterFundExp!I769+CharterFundExp!I806+CharterFundExp!I843+CharterFundExp!I880+CharterFundExp!I917+CharterFundExp!I954+CharterFundExp!I991+CharterFundExp!I1028+CharterFundExp!I1065)</f>
        <v>0</v>
      </c>
      <c r="C1104" s="167"/>
    </row>
    <row r="1105" spans="1:3" ht="18" x14ac:dyDescent="0.25">
      <c r="A1105" s="311" t="s">
        <v>202</v>
      </c>
      <c r="B1105" s="617">
        <f>I658</f>
        <v>0</v>
      </c>
      <c r="C1105" s="167"/>
    </row>
    <row r="1106" spans="1:3" ht="18" x14ac:dyDescent="0.25">
      <c r="A1106" s="152" t="s">
        <v>630</v>
      </c>
      <c r="B1106" s="617">
        <f t="shared" ref="B1106:B1111" si="30">SUM(I38+I74+I110+I146+I182+I217+I253+I289+I325+I361+I399+I436+I473+I510+I547+I584+I621+I659+I696+I733+I770+I807+I844+I881+I918+I955+I992+I1029+I1066)</f>
        <v>0</v>
      </c>
      <c r="C1106" s="167"/>
    </row>
    <row r="1107" spans="1:3" ht="18" x14ac:dyDescent="0.25">
      <c r="A1107" s="152" t="s">
        <v>631</v>
      </c>
      <c r="B1107" s="617">
        <f t="shared" si="30"/>
        <v>0</v>
      </c>
      <c r="C1107" s="167"/>
    </row>
    <row r="1108" spans="1:3" ht="18" x14ac:dyDescent="0.25">
      <c r="A1108" s="152" t="s">
        <v>1584</v>
      </c>
      <c r="B1108" s="617">
        <f t="shared" si="30"/>
        <v>0</v>
      </c>
      <c r="C1108" s="167"/>
    </row>
    <row r="1109" spans="1:3" ht="18" x14ac:dyDescent="0.25">
      <c r="A1109" s="152" t="s">
        <v>174</v>
      </c>
      <c r="B1109" s="617">
        <f t="shared" si="30"/>
        <v>0</v>
      </c>
      <c r="C1109" s="167"/>
    </row>
    <row r="1110" spans="1:3" ht="18" x14ac:dyDescent="0.25">
      <c r="A1110" s="152" t="s">
        <v>175</v>
      </c>
      <c r="B1110" s="617">
        <f t="shared" si="30"/>
        <v>0</v>
      </c>
      <c r="C1110" s="167"/>
    </row>
    <row r="1111" spans="1:3" ht="18" x14ac:dyDescent="0.25">
      <c r="A1111" s="152" t="s">
        <v>176</v>
      </c>
      <c r="B1111" s="617">
        <f t="shared" si="30"/>
        <v>0</v>
      </c>
      <c r="C1111" s="167"/>
    </row>
    <row r="1112" spans="1:3" x14ac:dyDescent="0.15">
      <c r="A1112" s="167"/>
      <c r="B1112" s="618"/>
      <c r="C1112" s="167"/>
    </row>
    <row r="1113" spans="1:3" x14ac:dyDescent="0.15">
      <c r="A1113" s="167"/>
      <c r="B1113" s="618"/>
      <c r="C1113" s="167"/>
    </row>
    <row r="1114" spans="1:3" x14ac:dyDescent="0.15">
      <c r="B1114" s="490"/>
    </row>
    <row r="1115" spans="1:3" x14ac:dyDescent="0.15">
      <c r="B1115" s="490"/>
    </row>
  </sheetData>
  <sheetProtection password="CB03" sheet="1" formatCells="0" formatColumns="0" formatRows="0"/>
  <phoneticPr fontId="15" type="noConversion"/>
  <pageMargins left="0.75" right="0.75" top="1" bottom="1" header="0.5" footer="0.5"/>
  <pageSetup scale="55" orientation="portrait" r:id="rId1"/>
  <headerFooter alignWithMargins="0">
    <oddFooter>&amp;LCDE, Public School Finance Unit&amp;C&amp;P&amp;RRevised, March 2009</oddFooter>
  </headerFooter>
  <rowBreaks count="9" manualBreakCount="9">
    <brk id="81" max="16383" man="1"/>
    <brk id="188" max="8" man="1"/>
    <brk id="296" max="16383" man="1"/>
    <brk id="405" max="8" man="1"/>
    <brk id="516" max="16383" man="1"/>
    <brk id="627" max="8" man="1"/>
    <brk id="739" max="16383" man="1"/>
    <brk id="851" max="16383" man="1"/>
    <brk id="9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3"/>
  <sheetViews>
    <sheetView topLeftCell="A520" zoomScaleNormal="100" workbookViewId="0">
      <selection activeCell="D5" sqref="D5"/>
    </sheetView>
  </sheetViews>
  <sheetFormatPr defaultRowHeight="10.5" x14ac:dyDescent="0.15"/>
  <cols>
    <col min="1" max="1" width="4.83203125" style="423" customWidth="1"/>
    <col min="2" max="2" width="7.6640625" style="423" customWidth="1"/>
    <col min="3" max="3" width="70.83203125" style="423" customWidth="1"/>
    <col min="4" max="4" width="15.83203125" style="423" customWidth="1"/>
    <col min="5" max="5" width="14.1640625" style="423" bestFit="1" customWidth="1"/>
    <col min="6" max="6" width="14" style="423" bestFit="1" customWidth="1"/>
    <col min="7" max="8" width="15.83203125" style="423" customWidth="1"/>
    <col min="9" max="9" width="20.5" style="423" customWidth="1"/>
    <col min="10" max="16384" width="9.33203125" style="423"/>
  </cols>
  <sheetData>
    <row r="1" spans="1:10" ht="10.5" customHeight="1" x14ac:dyDescent="0.15">
      <c r="A1" s="423" t="s">
        <v>106</v>
      </c>
      <c r="C1" s="138">
        <f>+'Page 1 - FY2014-15'!B5</f>
        <v>0</v>
      </c>
      <c r="D1" s="423" t="s">
        <v>1586</v>
      </c>
      <c r="E1" s="428">
        <f>+'Page 1 - FY2014-15'!F7</f>
        <v>0</v>
      </c>
      <c r="G1" s="485" t="s">
        <v>1588</v>
      </c>
      <c r="H1" s="486"/>
      <c r="I1" s="486"/>
    </row>
    <row r="2" spans="1:10" ht="12.75" x14ac:dyDescent="0.2">
      <c r="A2" s="514" t="s">
        <v>547</v>
      </c>
    </row>
    <row r="3" spans="1:10" ht="12.75" x14ac:dyDescent="0.2">
      <c r="A3" s="514"/>
    </row>
    <row r="4" spans="1:10" ht="42.75" x14ac:dyDescent="0.2">
      <c r="A4" s="514"/>
      <c r="D4" s="686" t="s">
        <v>1701</v>
      </c>
      <c r="E4" s="686" t="s">
        <v>1702</v>
      </c>
      <c r="F4" s="686" t="s">
        <v>1703</v>
      </c>
      <c r="G4" s="686" t="s">
        <v>1704</v>
      </c>
      <c r="H4" s="686" t="s">
        <v>1705</v>
      </c>
      <c r="I4" s="686" t="s">
        <v>1706</v>
      </c>
    </row>
    <row r="5" spans="1:10" ht="53.25" x14ac:dyDescent="0.2">
      <c r="A5" s="514"/>
      <c r="D5" s="491"/>
      <c r="E5" s="491"/>
      <c r="F5" s="491"/>
      <c r="G5" s="491"/>
      <c r="H5" s="492" t="s">
        <v>193</v>
      </c>
      <c r="I5" s="492" t="s">
        <v>192</v>
      </c>
    </row>
    <row r="6" spans="1:10" ht="12.75" x14ac:dyDescent="0.2">
      <c r="A6" s="514"/>
    </row>
    <row r="7" spans="1:10" ht="10.5" customHeight="1" x14ac:dyDescent="0.15">
      <c r="A7" s="507" t="s">
        <v>640</v>
      </c>
      <c r="D7" s="516"/>
      <c r="E7" s="516"/>
      <c r="F7" s="516"/>
      <c r="G7" s="516"/>
    </row>
    <row r="8" spans="1:10" s="518" customFormat="1" ht="10.5" customHeight="1" x14ac:dyDescent="0.15">
      <c r="B8" s="519" t="s">
        <v>739</v>
      </c>
      <c r="D8" s="146"/>
      <c r="E8" s="146"/>
      <c r="F8" s="146"/>
      <c r="G8" s="145"/>
      <c r="I8" s="530"/>
    </row>
    <row r="9" spans="1:10" s="518" customFormat="1" ht="10.5" customHeight="1" x14ac:dyDescent="0.15">
      <c r="A9" s="555" t="s">
        <v>641</v>
      </c>
      <c r="B9" s="138"/>
      <c r="C9" s="138"/>
      <c r="D9" s="146"/>
      <c r="E9" s="146"/>
      <c r="F9" s="146"/>
      <c r="G9" s="145"/>
      <c r="I9" s="530"/>
    </row>
    <row r="10" spans="1:10" s="434" customFormat="1" x14ac:dyDescent="0.15">
      <c r="B10" s="523" t="s">
        <v>1577</v>
      </c>
      <c r="C10" s="524" t="s">
        <v>228</v>
      </c>
      <c r="D10" s="316">
        <v>0</v>
      </c>
      <c r="E10" s="316">
        <v>0</v>
      </c>
      <c r="F10" s="316">
        <v>0</v>
      </c>
      <c r="G10" s="528">
        <f t="array" ref="G10">SUM(IF(CertFund&amp;CertProg&amp;CertObj=RIGHT(LEFT($A$2,7),2)&amp;LEFT(A9,4)&amp;B10,CertSalary))</f>
        <v>0</v>
      </c>
      <c r="H10" s="527">
        <v>0</v>
      </c>
      <c r="I10" s="566">
        <f>SUM(G10+H10)</f>
        <v>0</v>
      </c>
    </row>
    <row r="11" spans="1:10" s="434" customFormat="1" x14ac:dyDescent="0.15">
      <c r="B11" s="523" t="s">
        <v>1577</v>
      </c>
      <c r="C11" s="524" t="s">
        <v>510</v>
      </c>
      <c r="D11" s="316">
        <v>0</v>
      </c>
      <c r="E11" s="316">
        <v>0</v>
      </c>
      <c r="F11" s="316">
        <v>0</v>
      </c>
      <c r="G11" s="316">
        <v>0</v>
      </c>
      <c r="H11" s="527">
        <v>0</v>
      </c>
      <c r="I11" s="566">
        <f>SUM(G11+H11)</f>
        <v>0</v>
      </c>
    </row>
    <row r="12" spans="1:10" s="434" customFormat="1" x14ac:dyDescent="0.15">
      <c r="A12" s="524"/>
      <c r="B12" s="523" t="s">
        <v>1578</v>
      </c>
      <c r="C12" s="524" t="s">
        <v>936</v>
      </c>
      <c r="D12" s="316">
        <v>0</v>
      </c>
      <c r="E12" s="316">
        <v>0</v>
      </c>
      <c r="F12" s="316">
        <v>0</v>
      </c>
      <c r="G12" s="529">
        <f t="array" ref="G12">SUM(IF(CertFund&amp;CertProg&amp;CertObj=RIGHT(LEFT($A$2,7),2)&amp;LEFT(A9,4)&amp;B10,CertBen))</f>
        <v>0</v>
      </c>
      <c r="H12" s="527">
        <v>0</v>
      </c>
      <c r="I12" s="566">
        <f>SUM(G12+H12)</f>
        <v>0</v>
      </c>
    </row>
    <row r="13" spans="1:10" x14ac:dyDescent="0.15">
      <c r="A13" s="138"/>
      <c r="B13" s="521" t="s">
        <v>1578</v>
      </c>
      <c r="C13" s="138" t="s">
        <v>511</v>
      </c>
      <c r="D13" s="147">
        <v>0</v>
      </c>
      <c r="E13" s="147">
        <v>0</v>
      </c>
      <c r="F13" s="147">
        <v>0</v>
      </c>
      <c r="G13" s="147">
        <v>0</v>
      </c>
      <c r="H13" s="150">
        <v>0</v>
      </c>
      <c r="I13" s="567">
        <f>SUM(G13+H13)</f>
        <v>0</v>
      </c>
      <c r="J13" s="434"/>
    </row>
    <row r="14" spans="1:10" s="518" customFormat="1" ht="10.5" customHeight="1" x14ac:dyDescent="0.15">
      <c r="A14" s="555"/>
      <c r="B14" s="521" t="s">
        <v>1579</v>
      </c>
      <c r="C14" s="138" t="s">
        <v>118</v>
      </c>
      <c r="D14" s="147">
        <v>0</v>
      </c>
      <c r="E14" s="147">
        <v>0</v>
      </c>
      <c r="F14" s="147">
        <v>0</v>
      </c>
      <c r="G14" s="147">
        <v>0</v>
      </c>
      <c r="H14" s="291">
        <v>0</v>
      </c>
      <c r="I14" s="579">
        <f t="shared" ref="I14:I43" si="0">SUM(G14+H14)</f>
        <v>0</v>
      </c>
    </row>
    <row r="15" spans="1:10" s="518" customFormat="1" ht="10.5" customHeight="1" x14ac:dyDescent="0.15">
      <c r="A15" s="555"/>
      <c r="B15" s="521" t="s">
        <v>1580</v>
      </c>
      <c r="C15" s="138" t="s">
        <v>119</v>
      </c>
      <c r="D15" s="147">
        <v>0</v>
      </c>
      <c r="E15" s="147">
        <v>0</v>
      </c>
      <c r="F15" s="147">
        <v>0</v>
      </c>
      <c r="G15" s="147">
        <v>0</v>
      </c>
      <c r="H15" s="291">
        <v>0</v>
      </c>
      <c r="I15" s="579">
        <f t="shared" si="0"/>
        <v>0</v>
      </c>
    </row>
    <row r="16" spans="1:10" s="518" customFormat="1" ht="10.5" customHeight="1" x14ac:dyDescent="0.15">
      <c r="A16" s="555"/>
      <c r="B16" s="521" t="s">
        <v>120</v>
      </c>
      <c r="C16" s="138" t="s">
        <v>121</v>
      </c>
      <c r="D16" s="147">
        <v>0</v>
      </c>
      <c r="E16" s="147">
        <v>0</v>
      </c>
      <c r="F16" s="147">
        <v>0</v>
      </c>
      <c r="G16" s="147">
        <v>0</v>
      </c>
      <c r="H16" s="291">
        <v>0</v>
      </c>
      <c r="I16" s="579">
        <f t="shared" si="0"/>
        <v>0</v>
      </c>
    </row>
    <row r="17" spans="1:9" s="518" customFormat="1" ht="10.5" customHeight="1" x14ac:dyDescent="0.15">
      <c r="A17" s="555"/>
      <c r="B17" s="521" t="s">
        <v>122</v>
      </c>
      <c r="C17" s="138" t="s">
        <v>123</v>
      </c>
      <c r="D17" s="147">
        <v>0</v>
      </c>
      <c r="E17" s="147">
        <v>0</v>
      </c>
      <c r="F17" s="147">
        <v>0</v>
      </c>
      <c r="G17" s="147">
        <v>0</v>
      </c>
      <c r="H17" s="291">
        <v>0</v>
      </c>
      <c r="I17" s="579">
        <f t="shared" si="0"/>
        <v>0</v>
      </c>
    </row>
    <row r="18" spans="1:9" s="518" customFormat="1" ht="10.5" customHeight="1" x14ac:dyDescent="0.15">
      <c r="A18" s="555"/>
      <c r="B18" s="521" t="s">
        <v>1581</v>
      </c>
      <c r="C18" s="138" t="s">
        <v>124</v>
      </c>
      <c r="D18" s="147">
        <v>0</v>
      </c>
      <c r="E18" s="147">
        <v>0</v>
      </c>
      <c r="F18" s="147">
        <v>0</v>
      </c>
      <c r="G18" s="147">
        <v>0</v>
      </c>
      <c r="H18" s="291">
        <v>0</v>
      </c>
      <c r="I18" s="579">
        <f t="shared" si="0"/>
        <v>0</v>
      </c>
    </row>
    <row r="19" spans="1:9" s="518" customFormat="1" ht="10.5" customHeight="1" x14ac:dyDescent="0.15">
      <c r="A19" s="555"/>
      <c r="B19" s="521" t="s">
        <v>125</v>
      </c>
      <c r="C19" s="138" t="s">
        <v>133</v>
      </c>
      <c r="D19" s="147">
        <v>0</v>
      </c>
      <c r="E19" s="147">
        <v>0</v>
      </c>
      <c r="F19" s="147">
        <v>0</v>
      </c>
      <c r="G19" s="147">
        <v>0</v>
      </c>
      <c r="H19" s="291">
        <v>0</v>
      </c>
      <c r="I19" s="579">
        <f t="shared" si="0"/>
        <v>0</v>
      </c>
    </row>
    <row r="20" spans="1:9" s="518" customFormat="1" ht="10.5" customHeight="1" x14ac:dyDescent="0.15">
      <c r="A20" s="555"/>
      <c r="B20" s="521" t="s">
        <v>126</v>
      </c>
      <c r="C20" s="138" t="s">
        <v>187</v>
      </c>
      <c r="D20" s="147">
        <v>0</v>
      </c>
      <c r="E20" s="147">
        <v>0</v>
      </c>
      <c r="F20" s="147">
        <v>0</v>
      </c>
      <c r="G20" s="147">
        <v>0</v>
      </c>
      <c r="H20" s="291">
        <v>0</v>
      </c>
      <c r="I20" s="579">
        <f t="shared" si="0"/>
        <v>0</v>
      </c>
    </row>
    <row r="21" spans="1:9" s="518" customFormat="1" ht="10.5" customHeight="1" x14ac:dyDescent="0.15">
      <c r="A21" s="555"/>
      <c r="B21" s="521" t="s">
        <v>127</v>
      </c>
      <c r="C21" s="138" t="s">
        <v>134</v>
      </c>
      <c r="D21" s="147">
        <v>0</v>
      </c>
      <c r="E21" s="147">
        <v>0</v>
      </c>
      <c r="F21" s="147">
        <v>0</v>
      </c>
      <c r="G21" s="147">
        <v>0</v>
      </c>
      <c r="H21" s="291">
        <v>0</v>
      </c>
      <c r="I21" s="579">
        <f t="shared" si="0"/>
        <v>0</v>
      </c>
    </row>
    <row r="22" spans="1:9" s="518" customFormat="1" ht="10.5" customHeight="1" x14ac:dyDescent="0.15">
      <c r="A22" s="555"/>
      <c r="B22" s="521" t="s">
        <v>128</v>
      </c>
      <c r="C22" s="138" t="s">
        <v>135</v>
      </c>
      <c r="D22" s="147">
        <v>0</v>
      </c>
      <c r="E22" s="147">
        <v>0</v>
      </c>
      <c r="F22" s="147">
        <v>0</v>
      </c>
      <c r="G22" s="147">
        <v>0</v>
      </c>
      <c r="H22" s="291">
        <v>0</v>
      </c>
      <c r="I22" s="579">
        <f t="shared" si="0"/>
        <v>0</v>
      </c>
    </row>
    <row r="23" spans="1:9" s="518" customFormat="1" ht="10.5" customHeight="1" x14ac:dyDescent="0.15">
      <c r="A23" s="555"/>
      <c r="B23" s="521" t="s">
        <v>129</v>
      </c>
      <c r="C23" s="138" t="s">
        <v>136</v>
      </c>
      <c r="D23" s="147">
        <v>0</v>
      </c>
      <c r="E23" s="147">
        <v>0</v>
      </c>
      <c r="F23" s="147">
        <v>0</v>
      </c>
      <c r="G23" s="147">
        <v>0</v>
      </c>
      <c r="H23" s="291">
        <v>0</v>
      </c>
      <c r="I23" s="579">
        <f t="shared" si="0"/>
        <v>0</v>
      </c>
    </row>
    <row r="24" spans="1:9" s="518" customFormat="1" ht="10.5" customHeight="1" x14ac:dyDescent="0.15">
      <c r="A24" s="555"/>
      <c r="B24" s="521" t="s">
        <v>131</v>
      </c>
      <c r="C24" s="138" t="s">
        <v>137</v>
      </c>
      <c r="D24" s="147">
        <v>0</v>
      </c>
      <c r="E24" s="147">
        <v>0</v>
      </c>
      <c r="F24" s="147">
        <v>0</v>
      </c>
      <c r="G24" s="147">
        <v>0</v>
      </c>
      <c r="H24" s="291">
        <v>0</v>
      </c>
      <c r="I24" s="579">
        <f t="shared" si="0"/>
        <v>0</v>
      </c>
    </row>
    <row r="25" spans="1:9" s="518" customFormat="1" ht="10.5" customHeight="1" x14ac:dyDescent="0.15">
      <c r="A25" s="555"/>
      <c r="B25" s="521" t="s">
        <v>132</v>
      </c>
      <c r="C25" s="138" t="s">
        <v>1617</v>
      </c>
      <c r="D25" s="147">
        <v>0</v>
      </c>
      <c r="E25" s="147">
        <v>0</v>
      </c>
      <c r="F25" s="147">
        <v>0</v>
      </c>
      <c r="G25" s="147">
        <v>0</v>
      </c>
      <c r="H25" s="291">
        <v>0</v>
      </c>
      <c r="I25" s="579">
        <f t="shared" si="0"/>
        <v>0</v>
      </c>
    </row>
    <row r="26" spans="1:9" s="518" customFormat="1" ht="10.5" customHeight="1" x14ac:dyDescent="0.15">
      <c r="A26" s="555"/>
      <c r="B26" s="521" t="s">
        <v>1624</v>
      </c>
      <c r="C26" s="138" t="s">
        <v>840</v>
      </c>
      <c r="D26" s="147">
        <v>0</v>
      </c>
      <c r="E26" s="147">
        <v>0</v>
      </c>
      <c r="F26" s="147">
        <v>0</v>
      </c>
      <c r="G26" s="147">
        <v>0</v>
      </c>
      <c r="H26" s="291">
        <v>0</v>
      </c>
      <c r="I26" s="579">
        <f t="shared" si="0"/>
        <v>0</v>
      </c>
    </row>
    <row r="27" spans="1:9" s="518" customFormat="1" ht="10.5" customHeight="1" x14ac:dyDescent="0.15">
      <c r="A27" s="555"/>
      <c r="B27" s="521" t="s">
        <v>1625</v>
      </c>
      <c r="C27" s="138" t="s">
        <v>842</v>
      </c>
      <c r="D27" s="147">
        <v>0</v>
      </c>
      <c r="E27" s="147">
        <v>0</v>
      </c>
      <c r="F27" s="147">
        <v>0</v>
      </c>
      <c r="G27" s="147">
        <v>0</v>
      </c>
      <c r="H27" s="291">
        <v>0</v>
      </c>
      <c r="I27" s="579">
        <f t="shared" si="0"/>
        <v>0</v>
      </c>
    </row>
    <row r="28" spans="1:9" s="518" customFormat="1" ht="10.5" customHeight="1" x14ac:dyDescent="0.15">
      <c r="A28" s="555"/>
      <c r="B28" s="521" t="s">
        <v>843</v>
      </c>
      <c r="C28" s="138" t="s">
        <v>848</v>
      </c>
      <c r="D28" s="147">
        <v>0</v>
      </c>
      <c r="E28" s="147">
        <v>0</v>
      </c>
      <c r="F28" s="147">
        <v>0</v>
      </c>
      <c r="G28" s="147">
        <v>0</v>
      </c>
      <c r="H28" s="291">
        <v>0</v>
      </c>
      <c r="I28" s="579">
        <f t="shared" si="0"/>
        <v>0</v>
      </c>
    </row>
    <row r="29" spans="1:9" s="518" customFormat="1" ht="10.5" customHeight="1" x14ac:dyDescent="0.15">
      <c r="A29" s="555"/>
      <c r="B29" s="521" t="s">
        <v>844</v>
      </c>
      <c r="C29" s="138" t="s">
        <v>186</v>
      </c>
      <c r="D29" s="147">
        <v>0</v>
      </c>
      <c r="E29" s="147">
        <v>0</v>
      </c>
      <c r="F29" s="147">
        <v>0</v>
      </c>
      <c r="G29" s="147">
        <v>0</v>
      </c>
      <c r="H29" s="291">
        <v>0</v>
      </c>
      <c r="I29" s="579">
        <f t="shared" si="0"/>
        <v>0</v>
      </c>
    </row>
    <row r="30" spans="1:9" s="518" customFormat="1" ht="10.5" customHeight="1" x14ac:dyDescent="0.15">
      <c r="A30" s="555"/>
      <c r="B30" s="521" t="s">
        <v>845</v>
      </c>
      <c r="C30" s="138" t="s">
        <v>154</v>
      </c>
      <c r="D30" s="147">
        <v>0</v>
      </c>
      <c r="E30" s="147">
        <v>0</v>
      </c>
      <c r="F30" s="147">
        <v>0</v>
      </c>
      <c r="G30" s="147">
        <v>0</v>
      </c>
      <c r="H30" s="291">
        <v>0</v>
      </c>
      <c r="I30" s="579">
        <f t="shared" si="0"/>
        <v>0</v>
      </c>
    </row>
    <row r="31" spans="1:9" s="518" customFormat="1" ht="10.5" customHeight="1" x14ac:dyDescent="0.15">
      <c r="A31" s="555"/>
      <c r="B31" s="521" t="s">
        <v>846</v>
      </c>
      <c r="C31" s="138" t="s">
        <v>155</v>
      </c>
      <c r="D31" s="147">
        <v>0</v>
      </c>
      <c r="E31" s="147">
        <v>0</v>
      </c>
      <c r="F31" s="147">
        <v>0</v>
      </c>
      <c r="G31" s="147">
        <v>0</v>
      </c>
      <c r="H31" s="291">
        <v>0</v>
      </c>
      <c r="I31" s="579">
        <f t="shared" si="0"/>
        <v>0</v>
      </c>
    </row>
    <row r="32" spans="1:9" s="518" customFormat="1" ht="10.5" customHeight="1" x14ac:dyDescent="0.15">
      <c r="A32" s="555"/>
      <c r="B32" s="521" t="s">
        <v>1582</v>
      </c>
      <c r="C32" s="138" t="s">
        <v>156</v>
      </c>
      <c r="D32" s="147">
        <v>0</v>
      </c>
      <c r="E32" s="147">
        <v>0</v>
      </c>
      <c r="F32" s="147">
        <v>0</v>
      </c>
      <c r="G32" s="147">
        <v>0</v>
      </c>
      <c r="H32" s="291">
        <v>0</v>
      </c>
      <c r="I32" s="579">
        <f t="shared" si="0"/>
        <v>0</v>
      </c>
    </row>
    <row r="33" spans="1:9" s="518" customFormat="1" ht="10.5" customHeight="1" x14ac:dyDescent="0.15">
      <c r="A33" s="555"/>
      <c r="B33" s="521" t="s">
        <v>847</v>
      </c>
      <c r="C33" s="138" t="s">
        <v>157</v>
      </c>
      <c r="D33" s="147">
        <v>0</v>
      </c>
      <c r="E33" s="147">
        <v>0</v>
      </c>
      <c r="F33" s="147">
        <v>0</v>
      </c>
      <c r="G33" s="147">
        <v>0</v>
      </c>
      <c r="H33" s="291">
        <v>0</v>
      </c>
      <c r="I33" s="579">
        <f t="shared" si="0"/>
        <v>0</v>
      </c>
    </row>
    <row r="34" spans="1:9" s="518" customFormat="1" ht="10.5" customHeight="1" x14ac:dyDescent="0.15">
      <c r="A34" s="555"/>
      <c r="B34" s="521" t="s">
        <v>1583</v>
      </c>
      <c r="C34" s="138" t="s">
        <v>160</v>
      </c>
      <c r="D34" s="147">
        <v>0</v>
      </c>
      <c r="E34" s="147">
        <v>0</v>
      </c>
      <c r="F34" s="147">
        <v>0</v>
      </c>
      <c r="G34" s="147">
        <v>0</v>
      </c>
      <c r="H34" s="291">
        <v>0</v>
      </c>
      <c r="I34" s="579">
        <f t="shared" si="0"/>
        <v>0</v>
      </c>
    </row>
    <row r="35" spans="1:9" s="518" customFormat="1" ht="10.5" customHeight="1" x14ac:dyDescent="0.15">
      <c r="A35" s="555"/>
      <c r="B35" s="521" t="s">
        <v>634</v>
      </c>
      <c r="C35" s="138" t="s">
        <v>165</v>
      </c>
      <c r="D35" s="147">
        <v>0</v>
      </c>
      <c r="E35" s="147">
        <v>0</v>
      </c>
      <c r="F35" s="147">
        <v>0</v>
      </c>
      <c r="G35" s="147">
        <v>0</v>
      </c>
      <c r="H35" s="291">
        <v>0</v>
      </c>
      <c r="I35" s="579">
        <f t="shared" si="0"/>
        <v>0</v>
      </c>
    </row>
    <row r="36" spans="1:9" s="518" customFormat="1" ht="10.5" customHeight="1" x14ac:dyDescent="0.15">
      <c r="A36" s="555"/>
      <c r="B36" s="521" t="s">
        <v>630</v>
      </c>
      <c r="C36" s="138" t="s">
        <v>172</v>
      </c>
      <c r="D36" s="147">
        <v>0</v>
      </c>
      <c r="E36" s="147">
        <v>0</v>
      </c>
      <c r="F36" s="147">
        <v>0</v>
      </c>
      <c r="G36" s="147">
        <v>0</v>
      </c>
      <c r="H36" s="291">
        <v>0</v>
      </c>
      <c r="I36" s="579">
        <f t="shared" si="0"/>
        <v>0</v>
      </c>
    </row>
    <row r="37" spans="1:9" s="518" customFormat="1" ht="10.5" customHeight="1" x14ac:dyDescent="0.15">
      <c r="A37" s="555"/>
      <c r="B37" s="650" t="s">
        <v>631</v>
      </c>
      <c r="C37" s="651" t="s">
        <v>173</v>
      </c>
      <c r="D37" s="147">
        <v>0</v>
      </c>
      <c r="E37" s="147">
        <v>0</v>
      </c>
      <c r="F37" s="147">
        <v>0</v>
      </c>
      <c r="G37" s="147">
        <v>0</v>
      </c>
      <c r="H37" s="291">
        <v>0</v>
      </c>
      <c r="I37" s="579">
        <f t="shared" si="0"/>
        <v>0</v>
      </c>
    </row>
    <row r="38" spans="1:9" s="518" customFormat="1" ht="10.5" customHeight="1" x14ac:dyDescent="0.15">
      <c r="A38" s="555"/>
      <c r="B38" s="521" t="s">
        <v>1584</v>
      </c>
      <c r="C38" s="138" t="s">
        <v>178</v>
      </c>
      <c r="D38" s="147">
        <v>0</v>
      </c>
      <c r="E38" s="147">
        <v>0</v>
      </c>
      <c r="F38" s="147">
        <v>0</v>
      </c>
      <c r="G38" s="147">
        <v>0</v>
      </c>
      <c r="H38" s="291">
        <v>0</v>
      </c>
      <c r="I38" s="579">
        <f t="shared" si="0"/>
        <v>0</v>
      </c>
    </row>
    <row r="39" spans="1:9" s="518" customFormat="1" ht="10.5" customHeight="1" x14ac:dyDescent="0.15">
      <c r="A39" s="555"/>
      <c r="B39" s="521" t="s">
        <v>174</v>
      </c>
      <c r="C39" s="138" t="s">
        <v>179</v>
      </c>
      <c r="D39" s="147">
        <v>0</v>
      </c>
      <c r="E39" s="147">
        <v>0</v>
      </c>
      <c r="F39" s="147">
        <v>0</v>
      </c>
      <c r="G39" s="147">
        <v>0</v>
      </c>
      <c r="H39" s="291">
        <v>0</v>
      </c>
      <c r="I39" s="579">
        <f t="shared" si="0"/>
        <v>0</v>
      </c>
    </row>
    <row r="40" spans="1:9" s="518" customFormat="1" ht="10.5" customHeight="1" x14ac:dyDescent="0.15">
      <c r="A40" s="555"/>
      <c r="B40" s="521" t="s">
        <v>175</v>
      </c>
      <c r="C40" s="138" t="s">
        <v>180</v>
      </c>
      <c r="D40" s="147">
        <v>0</v>
      </c>
      <c r="E40" s="147">
        <v>0</v>
      </c>
      <c r="F40" s="147">
        <v>0</v>
      </c>
      <c r="G40" s="147">
        <v>0</v>
      </c>
      <c r="H40" s="291">
        <v>0</v>
      </c>
      <c r="I40" s="579">
        <f t="shared" si="0"/>
        <v>0</v>
      </c>
    </row>
    <row r="41" spans="1:9" s="518" customFormat="1" ht="10.5" customHeight="1" x14ac:dyDescent="0.15">
      <c r="A41" s="555"/>
      <c r="B41" s="521" t="s">
        <v>176</v>
      </c>
      <c r="C41" s="138" t="s">
        <v>181</v>
      </c>
      <c r="D41" s="147">
        <v>0</v>
      </c>
      <c r="E41" s="147">
        <v>0</v>
      </c>
      <c r="F41" s="147">
        <v>0</v>
      </c>
      <c r="G41" s="147">
        <v>0</v>
      </c>
      <c r="H41" s="291">
        <v>0</v>
      </c>
      <c r="I41" s="579">
        <f t="shared" si="0"/>
        <v>0</v>
      </c>
    </row>
    <row r="42" spans="1:9" s="518" customFormat="1" ht="10.5" customHeight="1" x14ac:dyDescent="0.15">
      <c r="A42" s="555"/>
      <c r="B42" s="521" t="s">
        <v>177</v>
      </c>
      <c r="C42" s="138" t="s">
        <v>182</v>
      </c>
      <c r="D42" s="147">
        <v>0</v>
      </c>
      <c r="E42" s="147">
        <v>0</v>
      </c>
      <c r="F42" s="147">
        <v>0</v>
      </c>
      <c r="G42" s="147">
        <v>0</v>
      </c>
      <c r="H42" s="291">
        <v>0</v>
      </c>
      <c r="I42" s="579">
        <f t="shared" si="0"/>
        <v>0</v>
      </c>
    </row>
    <row r="43" spans="1:9" s="518" customFormat="1" ht="10.5" customHeight="1" thickBot="1" x14ac:dyDescent="0.2">
      <c r="A43" s="555"/>
      <c r="B43" s="521" t="s">
        <v>632</v>
      </c>
      <c r="C43" s="138" t="s">
        <v>183</v>
      </c>
      <c r="D43" s="144">
        <v>0</v>
      </c>
      <c r="E43" s="144">
        <v>0</v>
      </c>
      <c r="F43" s="144">
        <v>0</v>
      </c>
      <c r="G43" s="144">
        <v>0</v>
      </c>
      <c r="H43" s="291">
        <v>0</v>
      </c>
      <c r="I43" s="579">
        <f t="shared" si="0"/>
        <v>0</v>
      </c>
    </row>
    <row r="44" spans="1:9" s="518" customFormat="1" ht="10.5" customHeight="1" thickTop="1" thickBot="1" x14ac:dyDescent="0.2">
      <c r="A44" s="555"/>
      <c r="B44" s="521"/>
      <c r="C44" s="138" t="s">
        <v>643</v>
      </c>
      <c r="D44" s="169">
        <f>SUM(D10:D43)</f>
        <v>0</v>
      </c>
      <c r="E44" s="169">
        <f>SUM(E10:E43)</f>
        <v>0</v>
      </c>
      <c r="F44" s="169">
        <f>SUM(F10:F43)</f>
        <v>0</v>
      </c>
      <c r="G44" s="169">
        <f>SUM(G10:G43)</f>
        <v>0</v>
      </c>
      <c r="H44" s="169">
        <f>SUM(H10:H43)</f>
        <v>0</v>
      </c>
      <c r="I44" s="169">
        <f>SUM(G44+H44)</f>
        <v>0</v>
      </c>
    </row>
    <row r="45" spans="1:9" s="518" customFormat="1" ht="10.5" customHeight="1" thickTop="1" x14ac:dyDescent="0.15">
      <c r="A45" s="555"/>
      <c r="B45" s="521"/>
      <c r="C45" s="138"/>
      <c r="D45" s="14"/>
      <c r="E45" s="14"/>
      <c r="F45" s="14"/>
      <c r="G45" s="14"/>
      <c r="I45" s="530"/>
    </row>
    <row r="46" spans="1:9" ht="10.5" customHeight="1" x14ac:dyDescent="0.15">
      <c r="A46" s="512" t="s">
        <v>642</v>
      </c>
      <c r="D46" s="14"/>
      <c r="E46" s="14"/>
      <c r="F46" s="14"/>
      <c r="G46" s="14"/>
      <c r="H46" s="198"/>
      <c r="I46" s="170"/>
    </row>
    <row r="47" spans="1:9" s="434" customFormat="1" x14ac:dyDescent="0.15">
      <c r="B47" s="523" t="s">
        <v>1577</v>
      </c>
      <c r="C47" s="524" t="s">
        <v>228</v>
      </c>
      <c r="D47" s="316">
        <v>0</v>
      </c>
      <c r="E47" s="316">
        <v>0</v>
      </c>
      <c r="F47" s="316">
        <v>0</v>
      </c>
      <c r="G47" s="528">
        <f t="array" ref="G47">SUM(IF(CertFund&amp;CertProg&amp;CertObj=RIGHT(LEFT($A$2,7),2)&amp;LEFT(A46,4)&amp;B47,CertSalary))</f>
        <v>0</v>
      </c>
      <c r="H47" s="527">
        <v>0</v>
      </c>
      <c r="I47" s="566">
        <f>SUM(G47+H47)</f>
        <v>0</v>
      </c>
    </row>
    <row r="48" spans="1:9" s="434" customFormat="1" x14ac:dyDescent="0.15">
      <c r="B48" s="523" t="s">
        <v>1577</v>
      </c>
      <c r="C48" s="524" t="s">
        <v>510</v>
      </c>
      <c r="D48" s="316">
        <v>0</v>
      </c>
      <c r="E48" s="316">
        <v>0</v>
      </c>
      <c r="F48" s="316">
        <v>0</v>
      </c>
      <c r="G48" s="316">
        <v>0</v>
      </c>
      <c r="H48" s="527">
        <v>0</v>
      </c>
      <c r="I48" s="566">
        <f>SUM(G48+H48)</f>
        <v>0</v>
      </c>
    </row>
    <row r="49" spans="1:10" s="434" customFormat="1" x14ac:dyDescent="0.15">
      <c r="A49" s="524"/>
      <c r="B49" s="523" t="s">
        <v>1578</v>
      </c>
      <c r="C49" s="524" t="s">
        <v>936</v>
      </c>
      <c r="D49" s="316">
        <v>0</v>
      </c>
      <c r="E49" s="316">
        <v>0</v>
      </c>
      <c r="F49" s="316">
        <v>0</v>
      </c>
      <c r="G49" s="529">
        <f t="array" ref="G49">SUM(IF(CertFund&amp;CertProg&amp;CertObj=RIGHT(LEFT($A$2,7),2)&amp;LEFT(A46,4)&amp;B47,CertBen))</f>
        <v>0</v>
      </c>
      <c r="H49" s="527">
        <v>0</v>
      </c>
      <c r="I49" s="566">
        <f>SUM(G49+H49)</f>
        <v>0</v>
      </c>
    </row>
    <row r="50" spans="1:10" x14ac:dyDescent="0.15">
      <c r="A50" s="138"/>
      <c r="B50" s="521" t="s">
        <v>1578</v>
      </c>
      <c r="C50" s="138" t="s">
        <v>511</v>
      </c>
      <c r="D50" s="147">
        <v>0</v>
      </c>
      <c r="E50" s="147">
        <v>0</v>
      </c>
      <c r="F50" s="147">
        <v>0</v>
      </c>
      <c r="G50" s="147">
        <v>0</v>
      </c>
      <c r="H50" s="150">
        <v>0</v>
      </c>
      <c r="I50" s="567">
        <f>SUM(G50+H50)</f>
        <v>0</v>
      </c>
      <c r="J50" s="434"/>
    </row>
    <row r="51" spans="1:10" ht="10.5" customHeight="1" x14ac:dyDescent="0.15">
      <c r="A51" s="512"/>
      <c r="B51" s="521" t="s">
        <v>1579</v>
      </c>
      <c r="C51" s="138" t="s">
        <v>118</v>
      </c>
      <c r="D51" s="147">
        <v>0</v>
      </c>
      <c r="E51" s="147">
        <v>0</v>
      </c>
      <c r="F51" s="147">
        <v>0</v>
      </c>
      <c r="G51" s="147">
        <v>0</v>
      </c>
      <c r="H51" s="291">
        <v>0</v>
      </c>
      <c r="I51" s="579">
        <f t="shared" ref="I51:I80" si="1">SUM(G51+H51)</f>
        <v>0</v>
      </c>
    </row>
    <row r="52" spans="1:10" ht="10.5" customHeight="1" x14ac:dyDescent="0.15">
      <c r="A52" s="512"/>
      <c r="B52" s="521" t="s">
        <v>1580</v>
      </c>
      <c r="C52" s="138" t="s">
        <v>119</v>
      </c>
      <c r="D52" s="147">
        <v>0</v>
      </c>
      <c r="E52" s="147">
        <v>0</v>
      </c>
      <c r="F52" s="147">
        <v>0</v>
      </c>
      <c r="G52" s="147">
        <v>0</v>
      </c>
      <c r="H52" s="291">
        <v>0</v>
      </c>
      <c r="I52" s="579">
        <f t="shared" si="1"/>
        <v>0</v>
      </c>
    </row>
    <row r="53" spans="1:10" ht="10.5" customHeight="1" x14ac:dyDescent="0.15">
      <c r="A53" s="512"/>
      <c r="B53" s="521" t="s">
        <v>120</v>
      </c>
      <c r="C53" s="138" t="s">
        <v>121</v>
      </c>
      <c r="D53" s="147">
        <v>0</v>
      </c>
      <c r="E53" s="147">
        <v>0</v>
      </c>
      <c r="F53" s="147">
        <v>0</v>
      </c>
      <c r="G53" s="147">
        <v>0</v>
      </c>
      <c r="H53" s="291">
        <v>0</v>
      </c>
      <c r="I53" s="579">
        <f t="shared" si="1"/>
        <v>0</v>
      </c>
    </row>
    <row r="54" spans="1:10" ht="10.5" customHeight="1" x14ac:dyDescent="0.15">
      <c r="A54" s="512"/>
      <c r="B54" s="521" t="s">
        <v>122</v>
      </c>
      <c r="C54" s="138" t="s">
        <v>123</v>
      </c>
      <c r="D54" s="147">
        <v>0</v>
      </c>
      <c r="E54" s="147">
        <v>0</v>
      </c>
      <c r="F54" s="147">
        <v>0</v>
      </c>
      <c r="G54" s="147">
        <v>0</v>
      </c>
      <c r="H54" s="291">
        <v>0</v>
      </c>
      <c r="I54" s="579">
        <f t="shared" si="1"/>
        <v>0</v>
      </c>
    </row>
    <row r="55" spans="1:10" ht="10.5" customHeight="1" x14ac:dyDescent="0.15">
      <c r="A55" s="512"/>
      <c r="B55" s="521" t="s">
        <v>1581</v>
      </c>
      <c r="C55" s="138" t="s">
        <v>124</v>
      </c>
      <c r="D55" s="147">
        <v>0</v>
      </c>
      <c r="E55" s="147">
        <v>0</v>
      </c>
      <c r="F55" s="147">
        <v>0</v>
      </c>
      <c r="G55" s="147">
        <v>0</v>
      </c>
      <c r="H55" s="291">
        <v>0</v>
      </c>
      <c r="I55" s="579">
        <f t="shared" si="1"/>
        <v>0</v>
      </c>
    </row>
    <row r="56" spans="1:10" ht="10.5" customHeight="1" x14ac:dyDescent="0.15">
      <c r="A56" s="512"/>
      <c r="B56" s="521" t="s">
        <v>125</v>
      </c>
      <c r="C56" s="138" t="s">
        <v>133</v>
      </c>
      <c r="D56" s="147">
        <v>0</v>
      </c>
      <c r="E56" s="147">
        <v>0</v>
      </c>
      <c r="F56" s="147">
        <v>0</v>
      </c>
      <c r="G56" s="147">
        <v>0</v>
      </c>
      <c r="H56" s="291">
        <v>0</v>
      </c>
      <c r="I56" s="579">
        <f t="shared" si="1"/>
        <v>0</v>
      </c>
    </row>
    <row r="57" spans="1:10" ht="10.5" customHeight="1" x14ac:dyDescent="0.15">
      <c r="A57" s="512"/>
      <c r="B57" s="521" t="s">
        <v>126</v>
      </c>
      <c r="C57" s="138" t="s">
        <v>187</v>
      </c>
      <c r="D57" s="147">
        <v>0</v>
      </c>
      <c r="E57" s="147">
        <v>0</v>
      </c>
      <c r="F57" s="147">
        <v>0</v>
      </c>
      <c r="G57" s="147">
        <v>0</v>
      </c>
      <c r="H57" s="291">
        <v>0</v>
      </c>
      <c r="I57" s="579">
        <f t="shared" si="1"/>
        <v>0</v>
      </c>
    </row>
    <row r="58" spans="1:10" ht="10.5" customHeight="1" x14ac:dyDescent="0.15">
      <c r="A58" s="512"/>
      <c r="B58" s="521" t="s">
        <v>127</v>
      </c>
      <c r="C58" s="138" t="s">
        <v>134</v>
      </c>
      <c r="D58" s="147">
        <v>0</v>
      </c>
      <c r="E58" s="147">
        <v>0</v>
      </c>
      <c r="F58" s="147">
        <v>0</v>
      </c>
      <c r="G58" s="147">
        <v>0</v>
      </c>
      <c r="H58" s="291">
        <v>0</v>
      </c>
      <c r="I58" s="579">
        <f t="shared" si="1"/>
        <v>0</v>
      </c>
    </row>
    <row r="59" spans="1:10" ht="10.5" customHeight="1" x14ac:dyDescent="0.15">
      <c r="A59" s="512"/>
      <c r="B59" s="521" t="s">
        <v>128</v>
      </c>
      <c r="C59" s="138" t="s">
        <v>135</v>
      </c>
      <c r="D59" s="147">
        <v>0</v>
      </c>
      <c r="E59" s="147">
        <v>0</v>
      </c>
      <c r="F59" s="147">
        <v>0</v>
      </c>
      <c r="G59" s="147">
        <v>0</v>
      </c>
      <c r="H59" s="291">
        <v>0</v>
      </c>
      <c r="I59" s="579">
        <f t="shared" si="1"/>
        <v>0</v>
      </c>
    </row>
    <row r="60" spans="1:10" ht="10.5" customHeight="1" x14ac:dyDescent="0.15">
      <c r="A60" s="512"/>
      <c r="B60" s="521" t="s">
        <v>129</v>
      </c>
      <c r="C60" s="138" t="s">
        <v>136</v>
      </c>
      <c r="D60" s="147">
        <v>0</v>
      </c>
      <c r="E60" s="147">
        <v>0</v>
      </c>
      <c r="F60" s="147">
        <v>0</v>
      </c>
      <c r="G60" s="147">
        <v>0</v>
      </c>
      <c r="H60" s="291">
        <v>0</v>
      </c>
      <c r="I60" s="579">
        <f t="shared" si="1"/>
        <v>0</v>
      </c>
    </row>
    <row r="61" spans="1:10" ht="10.5" customHeight="1" x14ac:dyDescent="0.15">
      <c r="A61" s="512"/>
      <c r="B61" s="521" t="s">
        <v>131</v>
      </c>
      <c r="C61" s="138" t="s">
        <v>137</v>
      </c>
      <c r="D61" s="147">
        <v>0</v>
      </c>
      <c r="E61" s="147">
        <v>0</v>
      </c>
      <c r="F61" s="147">
        <v>0</v>
      </c>
      <c r="G61" s="147">
        <v>0</v>
      </c>
      <c r="H61" s="291">
        <v>0</v>
      </c>
      <c r="I61" s="579">
        <f t="shared" si="1"/>
        <v>0</v>
      </c>
    </row>
    <row r="62" spans="1:10" ht="10.5" customHeight="1" x14ac:dyDescent="0.15">
      <c r="A62" s="512"/>
      <c r="B62" s="521" t="s">
        <v>132</v>
      </c>
      <c r="C62" s="138" t="s">
        <v>1617</v>
      </c>
      <c r="D62" s="147">
        <v>0</v>
      </c>
      <c r="E62" s="147">
        <v>0</v>
      </c>
      <c r="F62" s="147">
        <v>0</v>
      </c>
      <c r="G62" s="147">
        <v>0</v>
      </c>
      <c r="H62" s="291">
        <v>0</v>
      </c>
      <c r="I62" s="579">
        <f t="shared" si="1"/>
        <v>0</v>
      </c>
    </row>
    <row r="63" spans="1:10" ht="10.5" customHeight="1" x14ac:dyDescent="0.15">
      <c r="A63" s="512"/>
      <c r="B63" s="521" t="s">
        <v>1624</v>
      </c>
      <c r="C63" s="138" t="s">
        <v>840</v>
      </c>
      <c r="D63" s="147">
        <v>0</v>
      </c>
      <c r="E63" s="147">
        <v>0</v>
      </c>
      <c r="F63" s="147">
        <v>0</v>
      </c>
      <c r="G63" s="147">
        <v>0</v>
      </c>
      <c r="H63" s="291">
        <v>0</v>
      </c>
      <c r="I63" s="579">
        <f t="shared" si="1"/>
        <v>0</v>
      </c>
    </row>
    <row r="64" spans="1:10" ht="10.5" customHeight="1" x14ac:dyDescent="0.15">
      <c r="A64" s="512"/>
      <c r="B64" s="521" t="s">
        <v>1625</v>
      </c>
      <c r="C64" s="138" t="s">
        <v>842</v>
      </c>
      <c r="D64" s="147">
        <v>0</v>
      </c>
      <c r="E64" s="147">
        <v>0</v>
      </c>
      <c r="F64" s="147">
        <v>0</v>
      </c>
      <c r="G64" s="147">
        <v>0</v>
      </c>
      <c r="H64" s="291">
        <v>0</v>
      </c>
      <c r="I64" s="579">
        <f t="shared" si="1"/>
        <v>0</v>
      </c>
    </row>
    <row r="65" spans="1:9" ht="10.5" customHeight="1" x14ac:dyDescent="0.15">
      <c r="A65" s="512"/>
      <c r="B65" s="521" t="s">
        <v>843</v>
      </c>
      <c r="C65" s="138" t="s">
        <v>848</v>
      </c>
      <c r="D65" s="147">
        <v>0</v>
      </c>
      <c r="E65" s="147">
        <v>0</v>
      </c>
      <c r="F65" s="147">
        <v>0</v>
      </c>
      <c r="G65" s="147">
        <v>0</v>
      </c>
      <c r="H65" s="291">
        <v>0</v>
      </c>
      <c r="I65" s="579">
        <f t="shared" si="1"/>
        <v>0</v>
      </c>
    </row>
    <row r="66" spans="1:9" ht="10.5" customHeight="1" x14ac:dyDescent="0.15">
      <c r="A66" s="512"/>
      <c r="B66" s="521" t="s">
        <v>844</v>
      </c>
      <c r="C66" s="138" t="s">
        <v>186</v>
      </c>
      <c r="D66" s="147">
        <v>0</v>
      </c>
      <c r="E66" s="147">
        <v>0</v>
      </c>
      <c r="F66" s="147">
        <v>0</v>
      </c>
      <c r="G66" s="147">
        <v>0</v>
      </c>
      <c r="H66" s="291">
        <v>0</v>
      </c>
      <c r="I66" s="579">
        <f t="shared" si="1"/>
        <v>0</v>
      </c>
    </row>
    <row r="67" spans="1:9" ht="10.5" customHeight="1" x14ac:dyDescent="0.15">
      <c r="A67" s="512"/>
      <c r="B67" s="521" t="s">
        <v>845</v>
      </c>
      <c r="C67" s="138" t="s">
        <v>154</v>
      </c>
      <c r="D67" s="147">
        <v>0</v>
      </c>
      <c r="E67" s="147">
        <v>0</v>
      </c>
      <c r="F67" s="147">
        <v>0</v>
      </c>
      <c r="G67" s="147">
        <v>0</v>
      </c>
      <c r="H67" s="291">
        <v>0</v>
      </c>
      <c r="I67" s="579">
        <f t="shared" si="1"/>
        <v>0</v>
      </c>
    </row>
    <row r="68" spans="1:9" ht="10.5" customHeight="1" x14ac:dyDescent="0.15">
      <c r="A68" s="512"/>
      <c r="B68" s="521" t="s">
        <v>846</v>
      </c>
      <c r="C68" s="138" t="s">
        <v>155</v>
      </c>
      <c r="D68" s="147">
        <v>0</v>
      </c>
      <c r="E68" s="147">
        <v>0</v>
      </c>
      <c r="F68" s="147">
        <v>0</v>
      </c>
      <c r="G68" s="147">
        <v>0</v>
      </c>
      <c r="H68" s="291">
        <v>0</v>
      </c>
      <c r="I68" s="579">
        <f t="shared" si="1"/>
        <v>0</v>
      </c>
    </row>
    <row r="69" spans="1:9" ht="10.5" customHeight="1" x14ac:dyDescent="0.15">
      <c r="A69" s="512"/>
      <c r="B69" s="521" t="s">
        <v>1582</v>
      </c>
      <c r="C69" s="138" t="s">
        <v>156</v>
      </c>
      <c r="D69" s="147">
        <v>0</v>
      </c>
      <c r="E69" s="147">
        <v>0</v>
      </c>
      <c r="F69" s="147">
        <v>0</v>
      </c>
      <c r="G69" s="147">
        <v>0</v>
      </c>
      <c r="H69" s="291">
        <v>0</v>
      </c>
      <c r="I69" s="579">
        <f t="shared" si="1"/>
        <v>0</v>
      </c>
    </row>
    <row r="70" spans="1:9" ht="10.5" customHeight="1" x14ac:dyDescent="0.15">
      <c r="A70" s="512"/>
      <c r="B70" s="521" t="s">
        <v>847</v>
      </c>
      <c r="C70" s="138" t="s">
        <v>157</v>
      </c>
      <c r="D70" s="147">
        <v>0</v>
      </c>
      <c r="E70" s="147">
        <v>0</v>
      </c>
      <c r="F70" s="147">
        <v>0</v>
      </c>
      <c r="G70" s="147">
        <v>0</v>
      </c>
      <c r="H70" s="291">
        <v>0</v>
      </c>
      <c r="I70" s="579">
        <f t="shared" si="1"/>
        <v>0</v>
      </c>
    </row>
    <row r="71" spans="1:9" ht="10.5" customHeight="1" x14ac:dyDescent="0.15">
      <c r="A71" s="512"/>
      <c r="B71" s="521" t="s">
        <v>1583</v>
      </c>
      <c r="C71" s="138" t="s">
        <v>160</v>
      </c>
      <c r="D71" s="147">
        <v>0</v>
      </c>
      <c r="E71" s="147">
        <v>0</v>
      </c>
      <c r="F71" s="147">
        <v>0</v>
      </c>
      <c r="G71" s="147">
        <v>0</v>
      </c>
      <c r="H71" s="291">
        <v>0</v>
      </c>
      <c r="I71" s="579">
        <f t="shared" si="1"/>
        <v>0</v>
      </c>
    </row>
    <row r="72" spans="1:9" ht="10.5" customHeight="1" x14ac:dyDescent="0.15">
      <c r="A72" s="512"/>
      <c r="B72" s="521" t="s">
        <v>634</v>
      </c>
      <c r="C72" s="138" t="s">
        <v>165</v>
      </c>
      <c r="D72" s="147">
        <v>0</v>
      </c>
      <c r="E72" s="147">
        <v>0</v>
      </c>
      <c r="F72" s="147">
        <v>0</v>
      </c>
      <c r="G72" s="147">
        <v>0</v>
      </c>
      <c r="H72" s="291">
        <v>0</v>
      </c>
      <c r="I72" s="579">
        <f t="shared" si="1"/>
        <v>0</v>
      </c>
    </row>
    <row r="73" spans="1:9" ht="10.5" customHeight="1" x14ac:dyDescent="0.15">
      <c r="A73" s="512"/>
      <c r="B73" s="521" t="s">
        <v>630</v>
      </c>
      <c r="C73" s="138" t="s">
        <v>172</v>
      </c>
      <c r="D73" s="147">
        <v>0</v>
      </c>
      <c r="E73" s="147">
        <v>0</v>
      </c>
      <c r="F73" s="147">
        <v>0</v>
      </c>
      <c r="G73" s="147">
        <v>0</v>
      </c>
      <c r="H73" s="291">
        <v>0</v>
      </c>
      <c r="I73" s="579">
        <f t="shared" si="1"/>
        <v>0</v>
      </c>
    </row>
    <row r="74" spans="1:9" ht="10.5" customHeight="1" x14ac:dyDescent="0.15">
      <c r="A74" s="512"/>
      <c r="B74" s="650" t="s">
        <v>631</v>
      </c>
      <c r="C74" s="651" t="s">
        <v>173</v>
      </c>
      <c r="D74" s="147">
        <v>0</v>
      </c>
      <c r="E74" s="147">
        <v>0</v>
      </c>
      <c r="F74" s="147">
        <v>0</v>
      </c>
      <c r="G74" s="147">
        <v>0</v>
      </c>
      <c r="H74" s="291">
        <v>0</v>
      </c>
      <c r="I74" s="579">
        <f t="shared" si="1"/>
        <v>0</v>
      </c>
    </row>
    <row r="75" spans="1:9" ht="10.5" customHeight="1" x14ac:dyDescent="0.15">
      <c r="A75" s="512"/>
      <c r="B75" s="521" t="s">
        <v>1584</v>
      </c>
      <c r="C75" s="138" t="s">
        <v>178</v>
      </c>
      <c r="D75" s="147">
        <v>0</v>
      </c>
      <c r="E75" s="147">
        <v>0</v>
      </c>
      <c r="F75" s="147">
        <v>0</v>
      </c>
      <c r="G75" s="147">
        <v>0</v>
      </c>
      <c r="H75" s="291">
        <v>0</v>
      </c>
      <c r="I75" s="579">
        <f t="shared" si="1"/>
        <v>0</v>
      </c>
    </row>
    <row r="76" spans="1:9" ht="10.5" customHeight="1" x14ac:dyDescent="0.15">
      <c r="A76" s="512"/>
      <c r="B76" s="521" t="s">
        <v>174</v>
      </c>
      <c r="C76" s="138" t="s">
        <v>179</v>
      </c>
      <c r="D76" s="147">
        <v>0</v>
      </c>
      <c r="E76" s="147">
        <v>0</v>
      </c>
      <c r="F76" s="147">
        <v>0</v>
      </c>
      <c r="G76" s="147">
        <v>0</v>
      </c>
      <c r="H76" s="291">
        <v>0</v>
      </c>
      <c r="I76" s="579">
        <f t="shared" si="1"/>
        <v>0</v>
      </c>
    </row>
    <row r="77" spans="1:9" ht="10.5" customHeight="1" x14ac:dyDescent="0.15">
      <c r="A77" s="512"/>
      <c r="B77" s="521" t="s">
        <v>175</v>
      </c>
      <c r="C77" s="138" t="s">
        <v>180</v>
      </c>
      <c r="D77" s="147">
        <v>0</v>
      </c>
      <c r="E77" s="147">
        <v>0</v>
      </c>
      <c r="F77" s="147">
        <v>0</v>
      </c>
      <c r="G77" s="147">
        <v>0</v>
      </c>
      <c r="H77" s="291">
        <v>0</v>
      </c>
      <c r="I77" s="579">
        <f t="shared" si="1"/>
        <v>0</v>
      </c>
    </row>
    <row r="78" spans="1:9" ht="10.5" customHeight="1" x14ac:dyDescent="0.15">
      <c r="A78" s="512"/>
      <c r="B78" s="521" t="s">
        <v>176</v>
      </c>
      <c r="C78" s="138" t="s">
        <v>181</v>
      </c>
      <c r="D78" s="147">
        <v>0</v>
      </c>
      <c r="E78" s="147">
        <v>0</v>
      </c>
      <c r="F78" s="147">
        <v>0</v>
      </c>
      <c r="G78" s="147">
        <v>0</v>
      </c>
      <c r="H78" s="291">
        <v>0</v>
      </c>
      <c r="I78" s="579">
        <f t="shared" si="1"/>
        <v>0</v>
      </c>
    </row>
    <row r="79" spans="1:9" ht="10.5" customHeight="1" x14ac:dyDescent="0.15">
      <c r="A79" s="512"/>
      <c r="B79" s="521" t="s">
        <v>177</v>
      </c>
      <c r="C79" s="138" t="s">
        <v>182</v>
      </c>
      <c r="D79" s="147">
        <v>0</v>
      </c>
      <c r="E79" s="147">
        <v>0</v>
      </c>
      <c r="F79" s="147">
        <v>0</v>
      </c>
      <c r="G79" s="147">
        <v>0</v>
      </c>
      <c r="H79" s="291">
        <v>0</v>
      </c>
      <c r="I79" s="579">
        <f t="shared" si="1"/>
        <v>0</v>
      </c>
    </row>
    <row r="80" spans="1:9" ht="10.5" customHeight="1" thickBot="1" x14ac:dyDescent="0.2">
      <c r="A80" s="512"/>
      <c r="B80" s="521" t="s">
        <v>632</v>
      </c>
      <c r="C80" s="138" t="s">
        <v>183</v>
      </c>
      <c r="D80" s="144">
        <v>0</v>
      </c>
      <c r="E80" s="144">
        <v>0</v>
      </c>
      <c r="F80" s="144">
        <v>0</v>
      </c>
      <c r="G80" s="144">
        <v>0</v>
      </c>
      <c r="H80" s="291">
        <v>0</v>
      </c>
      <c r="I80" s="579">
        <f t="shared" si="1"/>
        <v>0</v>
      </c>
    </row>
    <row r="81" spans="1:10" ht="10.5" customHeight="1" thickTop="1" thickBot="1" x14ac:dyDescent="0.2">
      <c r="A81" s="512"/>
      <c r="B81" s="521"/>
      <c r="C81" s="138" t="s">
        <v>644</v>
      </c>
      <c r="D81" s="169">
        <f>SUM(D47:D80)</f>
        <v>0</v>
      </c>
      <c r="E81" s="169">
        <f>SUM(E47:E80)</f>
        <v>0</v>
      </c>
      <c r="F81" s="169">
        <f>SUM(F47:F80)</f>
        <v>0</v>
      </c>
      <c r="G81" s="169">
        <f>SUM(G47:G80)</f>
        <v>0</v>
      </c>
      <c r="H81" s="169">
        <f>SUM(H47:H80)</f>
        <v>0</v>
      </c>
      <c r="I81" s="169">
        <f>SUM(G81+H81)</f>
        <v>0</v>
      </c>
    </row>
    <row r="82" spans="1:10" ht="10.5" customHeight="1" thickTop="1" x14ac:dyDescent="0.15">
      <c r="A82" s="512"/>
      <c r="B82" s="521"/>
      <c r="C82" s="138"/>
      <c r="D82" s="14"/>
      <c r="E82" s="14"/>
      <c r="F82" s="14"/>
      <c r="G82" s="14"/>
      <c r="H82" s="198"/>
      <c r="I82" s="170"/>
    </row>
    <row r="83" spans="1:10" ht="10.5" customHeight="1" x14ac:dyDescent="0.15">
      <c r="A83" s="512" t="s">
        <v>262</v>
      </c>
      <c r="D83" s="14"/>
      <c r="E83" s="14"/>
      <c r="F83" s="14"/>
      <c r="G83" s="14"/>
      <c r="H83" s="198"/>
      <c r="I83" s="170"/>
    </row>
    <row r="84" spans="1:10" s="434" customFormat="1" x14ac:dyDescent="0.15">
      <c r="B84" s="523" t="s">
        <v>1577</v>
      </c>
      <c r="C84" s="524" t="s">
        <v>228</v>
      </c>
      <c r="D84" s="316">
        <v>0</v>
      </c>
      <c r="E84" s="316">
        <v>0</v>
      </c>
      <c r="F84" s="316">
        <v>0</v>
      </c>
      <c r="G84" s="528">
        <f t="array" ref="G84">SUM(IF(CertFund&amp;CertProg&amp;CertObj=RIGHT(LEFT($A$2,7),2)&amp;LEFT(A83,4)&amp;B84,CertSalary))</f>
        <v>0</v>
      </c>
      <c r="H84" s="527">
        <v>0</v>
      </c>
      <c r="I84" s="566">
        <f>SUM(G84+H84)</f>
        <v>0</v>
      </c>
    </row>
    <row r="85" spans="1:10" s="434" customFormat="1" x14ac:dyDescent="0.15">
      <c r="B85" s="523" t="s">
        <v>1577</v>
      </c>
      <c r="C85" s="524" t="s">
        <v>510</v>
      </c>
      <c r="D85" s="316">
        <v>0</v>
      </c>
      <c r="E85" s="316">
        <v>0</v>
      </c>
      <c r="F85" s="316">
        <v>0</v>
      </c>
      <c r="G85" s="316">
        <v>0</v>
      </c>
      <c r="H85" s="527">
        <v>0</v>
      </c>
      <c r="I85" s="566">
        <f>SUM(G85+H85)</f>
        <v>0</v>
      </c>
    </row>
    <row r="86" spans="1:10" s="434" customFormat="1" x14ac:dyDescent="0.15">
      <c r="A86" s="524"/>
      <c r="B86" s="523" t="s">
        <v>1578</v>
      </c>
      <c r="C86" s="524" t="s">
        <v>936</v>
      </c>
      <c r="D86" s="316">
        <v>0</v>
      </c>
      <c r="E86" s="316">
        <v>0</v>
      </c>
      <c r="F86" s="316">
        <v>0</v>
      </c>
      <c r="G86" s="529">
        <f t="array" ref="G86">SUM(IF(CertFund&amp;CertProg&amp;CertObj=RIGHT(LEFT($A$2,7),2)&amp;LEFT(A83,4)&amp;B84,CertBen))</f>
        <v>0</v>
      </c>
      <c r="H86" s="527">
        <v>0</v>
      </c>
      <c r="I86" s="566">
        <f>SUM(G86+H86)</f>
        <v>0</v>
      </c>
    </row>
    <row r="87" spans="1:10" x14ac:dyDescent="0.15">
      <c r="A87" s="138"/>
      <c r="B87" s="521" t="s">
        <v>1578</v>
      </c>
      <c r="C87" s="138" t="s">
        <v>511</v>
      </c>
      <c r="D87" s="147">
        <v>0</v>
      </c>
      <c r="E87" s="147">
        <v>0</v>
      </c>
      <c r="F87" s="147">
        <v>0</v>
      </c>
      <c r="G87" s="147">
        <v>0</v>
      </c>
      <c r="H87" s="150">
        <v>0</v>
      </c>
      <c r="I87" s="567">
        <f>SUM(G87+H87)</f>
        <v>0</v>
      </c>
      <c r="J87" s="434"/>
    </row>
    <row r="88" spans="1:10" ht="10.5" customHeight="1" x14ac:dyDescent="0.15">
      <c r="A88" s="512"/>
      <c r="B88" s="521" t="s">
        <v>1579</v>
      </c>
      <c r="C88" s="138" t="s">
        <v>118</v>
      </c>
      <c r="D88" s="147">
        <v>0</v>
      </c>
      <c r="E88" s="147">
        <v>0</v>
      </c>
      <c r="F88" s="147">
        <v>0</v>
      </c>
      <c r="G88" s="147">
        <v>0</v>
      </c>
      <c r="H88" s="291">
        <v>0</v>
      </c>
      <c r="I88" s="579">
        <f t="shared" ref="I88:I117" si="2">SUM(G88+H88)</f>
        <v>0</v>
      </c>
    </row>
    <row r="89" spans="1:10" ht="10.5" customHeight="1" x14ac:dyDescent="0.15">
      <c r="A89" s="512"/>
      <c r="B89" s="521" t="s">
        <v>1580</v>
      </c>
      <c r="C89" s="138" t="s">
        <v>119</v>
      </c>
      <c r="D89" s="147">
        <v>0</v>
      </c>
      <c r="E89" s="147">
        <v>0</v>
      </c>
      <c r="F89" s="147">
        <v>0</v>
      </c>
      <c r="G89" s="147">
        <v>0</v>
      </c>
      <c r="H89" s="291">
        <v>0</v>
      </c>
      <c r="I89" s="579">
        <f t="shared" si="2"/>
        <v>0</v>
      </c>
    </row>
    <row r="90" spans="1:10" ht="10.5" customHeight="1" x14ac:dyDescent="0.15">
      <c r="A90" s="512"/>
      <c r="B90" s="521" t="s">
        <v>120</v>
      </c>
      <c r="C90" s="138" t="s">
        <v>121</v>
      </c>
      <c r="D90" s="147">
        <v>0</v>
      </c>
      <c r="E90" s="147">
        <v>0</v>
      </c>
      <c r="F90" s="147">
        <v>0</v>
      </c>
      <c r="G90" s="147">
        <v>0</v>
      </c>
      <c r="H90" s="291">
        <v>0</v>
      </c>
      <c r="I90" s="579">
        <f t="shared" si="2"/>
        <v>0</v>
      </c>
    </row>
    <row r="91" spans="1:10" ht="10.5" customHeight="1" x14ac:dyDescent="0.15">
      <c r="A91" s="512"/>
      <c r="B91" s="521" t="s">
        <v>122</v>
      </c>
      <c r="C91" s="138" t="s">
        <v>123</v>
      </c>
      <c r="D91" s="147">
        <v>0</v>
      </c>
      <c r="E91" s="147">
        <v>0</v>
      </c>
      <c r="F91" s="147">
        <v>0</v>
      </c>
      <c r="G91" s="147">
        <v>0</v>
      </c>
      <c r="H91" s="291">
        <v>0</v>
      </c>
      <c r="I91" s="579">
        <f t="shared" si="2"/>
        <v>0</v>
      </c>
    </row>
    <row r="92" spans="1:10" ht="10.5" customHeight="1" x14ac:dyDescent="0.15">
      <c r="A92" s="512"/>
      <c r="B92" s="521" t="s">
        <v>1581</v>
      </c>
      <c r="C92" s="138" t="s">
        <v>124</v>
      </c>
      <c r="D92" s="147">
        <v>0</v>
      </c>
      <c r="E92" s="147">
        <v>0</v>
      </c>
      <c r="F92" s="147">
        <v>0</v>
      </c>
      <c r="G92" s="147">
        <v>0</v>
      </c>
      <c r="H92" s="291">
        <v>0</v>
      </c>
      <c r="I92" s="579">
        <f t="shared" si="2"/>
        <v>0</v>
      </c>
    </row>
    <row r="93" spans="1:10" ht="10.5" customHeight="1" x14ac:dyDescent="0.15">
      <c r="A93" s="512"/>
      <c r="B93" s="521" t="s">
        <v>125</v>
      </c>
      <c r="C93" s="138" t="s">
        <v>133</v>
      </c>
      <c r="D93" s="147">
        <v>0</v>
      </c>
      <c r="E93" s="147">
        <v>0</v>
      </c>
      <c r="F93" s="147">
        <v>0</v>
      </c>
      <c r="G93" s="147">
        <v>0</v>
      </c>
      <c r="H93" s="291">
        <v>0</v>
      </c>
      <c r="I93" s="579">
        <f t="shared" si="2"/>
        <v>0</v>
      </c>
    </row>
    <row r="94" spans="1:10" ht="10.5" customHeight="1" x14ac:dyDescent="0.15">
      <c r="A94" s="512"/>
      <c r="B94" s="521" t="s">
        <v>126</v>
      </c>
      <c r="C94" s="138" t="s">
        <v>187</v>
      </c>
      <c r="D94" s="147">
        <v>0</v>
      </c>
      <c r="E94" s="147">
        <v>0</v>
      </c>
      <c r="F94" s="147">
        <v>0</v>
      </c>
      <c r="G94" s="147">
        <v>0</v>
      </c>
      <c r="H94" s="291">
        <v>0</v>
      </c>
      <c r="I94" s="579">
        <f t="shared" si="2"/>
        <v>0</v>
      </c>
    </row>
    <row r="95" spans="1:10" ht="10.5" customHeight="1" x14ac:dyDescent="0.15">
      <c r="A95" s="512"/>
      <c r="B95" s="521" t="s">
        <v>127</v>
      </c>
      <c r="C95" s="138" t="s">
        <v>134</v>
      </c>
      <c r="D95" s="147">
        <v>0</v>
      </c>
      <c r="E95" s="147">
        <v>0</v>
      </c>
      <c r="F95" s="147">
        <v>0</v>
      </c>
      <c r="G95" s="147">
        <v>0</v>
      </c>
      <c r="H95" s="291">
        <v>0</v>
      </c>
      <c r="I95" s="579">
        <f t="shared" si="2"/>
        <v>0</v>
      </c>
    </row>
    <row r="96" spans="1:10" ht="10.5" customHeight="1" x14ac:dyDescent="0.15">
      <c r="A96" s="512"/>
      <c r="B96" s="521" t="s">
        <v>128</v>
      </c>
      <c r="C96" s="138" t="s">
        <v>135</v>
      </c>
      <c r="D96" s="147">
        <v>0</v>
      </c>
      <c r="E96" s="147">
        <v>0</v>
      </c>
      <c r="F96" s="147">
        <v>0</v>
      </c>
      <c r="G96" s="147">
        <v>0</v>
      </c>
      <c r="H96" s="291">
        <v>0</v>
      </c>
      <c r="I96" s="579">
        <f t="shared" si="2"/>
        <v>0</v>
      </c>
    </row>
    <row r="97" spans="1:9" ht="10.5" customHeight="1" x14ac:dyDescent="0.15">
      <c r="A97" s="512"/>
      <c r="B97" s="521" t="s">
        <v>129</v>
      </c>
      <c r="C97" s="138" t="s">
        <v>136</v>
      </c>
      <c r="D97" s="147">
        <v>0</v>
      </c>
      <c r="E97" s="147">
        <v>0</v>
      </c>
      <c r="F97" s="147">
        <v>0</v>
      </c>
      <c r="G97" s="147">
        <v>0</v>
      </c>
      <c r="H97" s="291">
        <v>0</v>
      </c>
      <c r="I97" s="579">
        <f t="shared" si="2"/>
        <v>0</v>
      </c>
    </row>
    <row r="98" spans="1:9" ht="10.5" customHeight="1" x14ac:dyDescent="0.15">
      <c r="A98" s="512"/>
      <c r="B98" s="521" t="s">
        <v>131</v>
      </c>
      <c r="C98" s="138" t="s">
        <v>137</v>
      </c>
      <c r="D98" s="147">
        <v>0</v>
      </c>
      <c r="E98" s="147">
        <v>0</v>
      </c>
      <c r="F98" s="147">
        <v>0</v>
      </c>
      <c r="G98" s="147">
        <v>0</v>
      </c>
      <c r="H98" s="291">
        <v>0</v>
      </c>
      <c r="I98" s="579">
        <f t="shared" si="2"/>
        <v>0</v>
      </c>
    </row>
    <row r="99" spans="1:9" ht="10.5" customHeight="1" x14ac:dyDescent="0.15">
      <c r="A99" s="512"/>
      <c r="B99" s="521" t="s">
        <v>132</v>
      </c>
      <c r="C99" s="138" t="s">
        <v>1617</v>
      </c>
      <c r="D99" s="147">
        <v>0</v>
      </c>
      <c r="E99" s="147">
        <v>0</v>
      </c>
      <c r="F99" s="147">
        <v>0</v>
      </c>
      <c r="G99" s="147">
        <v>0</v>
      </c>
      <c r="H99" s="291">
        <v>0</v>
      </c>
      <c r="I99" s="579">
        <f t="shared" si="2"/>
        <v>0</v>
      </c>
    </row>
    <row r="100" spans="1:9" ht="10.5" customHeight="1" x14ac:dyDescent="0.15">
      <c r="A100" s="512"/>
      <c r="B100" s="521" t="s">
        <v>1624</v>
      </c>
      <c r="C100" s="138" t="s">
        <v>840</v>
      </c>
      <c r="D100" s="147">
        <v>0</v>
      </c>
      <c r="E100" s="147">
        <v>0</v>
      </c>
      <c r="F100" s="147">
        <v>0</v>
      </c>
      <c r="G100" s="147">
        <v>0</v>
      </c>
      <c r="H100" s="291">
        <v>0</v>
      </c>
      <c r="I100" s="579">
        <f t="shared" si="2"/>
        <v>0</v>
      </c>
    </row>
    <row r="101" spans="1:9" ht="10.5" customHeight="1" x14ac:dyDescent="0.15">
      <c r="A101" s="512"/>
      <c r="B101" s="521" t="s">
        <v>1625</v>
      </c>
      <c r="C101" s="138" t="s">
        <v>842</v>
      </c>
      <c r="D101" s="147">
        <v>0</v>
      </c>
      <c r="E101" s="147">
        <v>0</v>
      </c>
      <c r="F101" s="147">
        <v>0</v>
      </c>
      <c r="G101" s="147">
        <v>0</v>
      </c>
      <c r="H101" s="291">
        <v>0</v>
      </c>
      <c r="I101" s="579">
        <f t="shared" si="2"/>
        <v>0</v>
      </c>
    </row>
    <row r="102" spans="1:9" ht="10.5" customHeight="1" x14ac:dyDescent="0.15">
      <c r="A102" s="512"/>
      <c r="B102" s="521" t="s">
        <v>843</v>
      </c>
      <c r="C102" s="138" t="s">
        <v>848</v>
      </c>
      <c r="D102" s="147">
        <v>0</v>
      </c>
      <c r="E102" s="147">
        <v>0</v>
      </c>
      <c r="F102" s="147">
        <v>0</v>
      </c>
      <c r="G102" s="147">
        <v>0</v>
      </c>
      <c r="H102" s="291">
        <v>0</v>
      </c>
      <c r="I102" s="579">
        <f t="shared" si="2"/>
        <v>0</v>
      </c>
    </row>
    <row r="103" spans="1:9" ht="10.5" customHeight="1" x14ac:dyDescent="0.15">
      <c r="A103" s="512"/>
      <c r="B103" s="521" t="s">
        <v>844</v>
      </c>
      <c r="C103" s="138" t="s">
        <v>186</v>
      </c>
      <c r="D103" s="147">
        <v>0</v>
      </c>
      <c r="E103" s="147">
        <v>0</v>
      </c>
      <c r="F103" s="147">
        <v>0</v>
      </c>
      <c r="G103" s="147">
        <v>0</v>
      </c>
      <c r="H103" s="291">
        <v>0</v>
      </c>
      <c r="I103" s="579">
        <f t="shared" si="2"/>
        <v>0</v>
      </c>
    </row>
    <row r="104" spans="1:9" ht="10.5" customHeight="1" x14ac:dyDescent="0.15">
      <c r="A104" s="512"/>
      <c r="B104" s="521" t="s">
        <v>845</v>
      </c>
      <c r="C104" s="138" t="s">
        <v>154</v>
      </c>
      <c r="D104" s="147">
        <v>0</v>
      </c>
      <c r="E104" s="147">
        <v>0</v>
      </c>
      <c r="F104" s="147">
        <v>0</v>
      </c>
      <c r="G104" s="147">
        <v>0</v>
      </c>
      <c r="H104" s="291">
        <v>0</v>
      </c>
      <c r="I104" s="579">
        <f t="shared" si="2"/>
        <v>0</v>
      </c>
    </row>
    <row r="105" spans="1:9" ht="10.5" customHeight="1" x14ac:dyDescent="0.15">
      <c r="A105" s="512"/>
      <c r="B105" s="521" t="s">
        <v>846</v>
      </c>
      <c r="C105" s="138" t="s">
        <v>155</v>
      </c>
      <c r="D105" s="147">
        <v>0</v>
      </c>
      <c r="E105" s="147">
        <v>0</v>
      </c>
      <c r="F105" s="147">
        <v>0</v>
      </c>
      <c r="G105" s="147">
        <v>0</v>
      </c>
      <c r="H105" s="291">
        <v>0</v>
      </c>
      <c r="I105" s="579">
        <f t="shared" si="2"/>
        <v>0</v>
      </c>
    </row>
    <row r="106" spans="1:9" ht="10.5" customHeight="1" x14ac:dyDescent="0.15">
      <c r="A106" s="512"/>
      <c r="B106" s="521" t="s">
        <v>1582</v>
      </c>
      <c r="C106" s="138" t="s">
        <v>156</v>
      </c>
      <c r="D106" s="147">
        <v>0</v>
      </c>
      <c r="E106" s="147">
        <v>0</v>
      </c>
      <c r="F106" s="147">
        <v>0</v>
      </c>
      <c r="G106" s="147">
        <v>0</v>
      </c>
      <c r="H106" s="291">
        <v>0</v>
      </c>
      <c r="I106" s="579">
        <f t="shared" si="2"/>
        <v>0</v>
      </c>
    </row>
    <row r="107" spans="1:9" ht="10.5" customHeight="1" x14ac:dyDescent="0.15">
      <c r="A107" s="512"/>
      <c r="B107" s="521" t="s">
        <v>847</v>
      </c>
      <c r="C107" s="138" t="s">
        <v>157</v>
      </c>
      <c r="D107" s="147">
        <v>0</v>
      </c>
      <c r="E107" s="147">
        <v>0</v>
      </c>
      <c r="F107" s="147">
        <v>0</v>
      </c>
      <c r="G107" s="147">
        <v>0</v>
      </c>
      <c r="H107" s="291">
        <v>0</v>
      </c>
      <c r="I107" s="579">
        <f t="shared" si="2"/>
        <v>0</v>
      </c>
    </row>
    <row r="108" spans="1:9" ht="10.5" customHeight="1" x14ac:dyDescent="0.15">
      <c r="A108" s="512"/>
      <c r="B108" s="521" t="s">
        <v>1583</v>
      </c>
      <c r="C108" s="138" t="s">
        <v>160</v>
      </c>
      <c r="D108" s="147">
        <v>0</v>
      </c>
      <c r="E108" s="147">
        <v>0</v>
      </c>
      <c r="F108" s="147">
        <v>0</v>
      </c>
      <c r="G108" s="147">
        <v>0</v>
      </c>
      <c r="H108" s="291">
        <v>0</v>
      </c>
      <c r="I108" s="579">
        <f t="shared" si="2"/>
        <v>0</v>
      </c>
    </row>
    <row r="109" spans="1:9" ht="10.5" customHeight="1" x14ac:dyDescent="0.15">
      <c r="A109" s="512"/>
      <c r="B109" s="521" t="s">
        <v>634</v>
      </c>
      <c r="C109" s="138" t="s">
        <v>165</v>
      </c>
      <c r="D109" s="147">
        <v>0</v>
      </c>
      <c r="E109" s="147">
        <v>0</v>
      </c>
      <c r="F109" s="147">
        <v>0</v>
      </c>
      <c r="G109" s="147">
        <v>0</v>
      </c>
      <c r="H109" s="291">
        <v>0</v>
      </c>
      <c r="I109" s="579">
        <f t="shared" si="2"/>
        <v>0</v>
      </c>
    </row>
    <row r="110" spans="1:9" ht="10.5" customHeight="1" x14ac:dyDescent="0.15">
      <c r="A110" s="512"/>
      <c r="B110" s="521" t="s">
        <v>630</v>
      </c>
      <c r="C110" s="138" t="s">
        <v>172</v>
      </c>
      <c r="D110" s="147">
        <v>0</v>
      </c>
      <c r="E110" s="147">
        <v>0</v>
      </c>
      <c r="F110" s="147">
        <v>0</v>
      </c>
      <c r="G110" s="147">
        <v>0</v>
      </c>
      <c r="H110" s="291">
        <v>0</v>
      </c>
      <c r="I110" s="579">
        <f t="shared" si="2"/>
        <v>0</v>
      </c>
    </row>
    <row r="111" spans="1:9" ht="10.5" customHeight="1" x14ac:dyDescent="0.15">
      <c r="A111" s="512"/>
      <c r="B111" s="650" t="s">
        <v>631</v>
      </c>
      <c r="C111" s="651" t="s">
        <v>173</v>
      </c>
      <c r="D111" s="147">
        <v>0</v>
      </c>
      <c r="E111" s="147">
        <v>0</v>
      </c>
      <c r="F111" s="147">
        <v>0</v>
      </c>
      <c r="G111" s="147">
        <v>0</v>
      </c>
      <c r="H111" s="291">
        <v>0</v>
      </c>
      <c r="I111" s="579">
        <f t="shared" si="2"/>
        <v>0</v>
      </c>
    </row>
    <row r="112" spans="1:9" ht="10.5" customHeight="1" x14ac:dyDescent="0.15">
      <c r="A112" s="512"/>
      <c r="B112" s="521" t="s">
        <v>1584</v>
      </c>
      <c r="C112" s="138" t="s">
        <v>178</v>
      </c>
      <c r="D112" s="147">
        <v>0</v>
      </c>
      <c r="E112" s="147">
        <v>0</v>
      </c>
      <c r="F112" s="147">
        <v>0</v>
      </c>
      <c r="G112" s="147">
        <v>0</v>
      </c>
      <c r="H112" s="291">
        <v>0</v>
      </c>
      <c r="I112" s="579">
        <f t="shared" si="2"/>
        <v>0</v>
      </c>
    </row>
    <row r="113" spans="1:10" ht="10.5" customHeight="1" x14ac:dyDescent="0.15">
      <c r="A113" s="512"/>
      <c r="B113" s="521" t="s">
        <v>174</v>
      </c>
      <c r="C113" s="138" t="s">
        <v>179</v>
      </c>
      <c r="D113" s="147">
        <v>0</v>
      </c>
      <c r="E113" s="147">
        <v>0</v>
      </c>
      <c r="F113" s="147">
        <v>0</v>
      </c>
      <c r="G113" s="147">
        <v>0</v>
      </c>
      <c r="H113" s="291">
        <v>0</v>
      </c>
      <c r="I113" s="579">
        <f t="shared" si="2"/>
        <v>0</v>
      </c>
    </row>
    <row r="114" spans="1:10" ht="10.5" customHeight="1" x14ac:dyDescent="0.15">
      <c r="A114" s="512"/>
      <c r="B114" s="521" t="s">
        <v>175</v>
      </c>
      <c r="C114" s="138" t="s">
        <v>180</v>
      </c>
      <c r="D114" s="147">
        <v>0</v>
      </c>
      <c r="E114" s="147">
        <v>0</v>
      </c>
      <c r="F114" s="147">
        <v>0</v>
      </c>
      <c r="G114" s="147">
        <v>0</v>
      </c>
      <c r="H114" s="291">
        <v>0</v>
      </c>
      <c r="I114" s="579">
        <f t="shared" si="2"/>
        <v>0</v>
      </c>
    </row>
    <row r="115" spans="1:10" ht="10.5" customHeight="1" x14ac:dyDescent="0.15">
      <c r="A115" s="512"/>
      <c r="B115" s="521" t="s">
        <v>176</v>
      </c>
      <c r="C115" s="138" t="s">
        <v>181</v>
      </c>
      <c r="D115" s="147">
        <v>0</v>
      </c>
      <c r="E115" s="147">
        <v>0</v>
      </c>
      <c r="F115" s="147">
        <v>0</v>
      </c>
      <c r="G115" s="147">
        <v>0</v>
      </c>
      <c r="H115" s="291">
        <v>0</v>
      </c>
      <c r="I115" s="579">
        <f t="shared" si="2"/>
        <v>0</v>
      </c>
    </row>
    <row r="116" spans="1:10" ht="10.5" customHeight="1" x14ac:dyDescent="0.15">
      <c r="A116" s="512"/>
      <c r="B116" s="521" t="s">
        <v>177</v>
      </c>
      <c r="C116" s="138" t="s">
        <v>182</v>
      </c>
      <c r="D116" s="147">
        <v>0</v>
      </c>
      <c r="E116" s="147">
        <v>0</v>
      </c>
      <c r="F116" s="147">
        <v>0</v>
      </c>
      <c r="G116" s="147">
        <v>0</v>
      </c>
      <c r="H116" s="291">
        <v>0</v>
      </c>
      <c r="I116" s="579">
        <f t="shared" si="2"/>
        <v>0</v>
      </c>
    </row>
    <row r="117" spans="1:10" ht="10.5" customHeight="1" thickBot="1" x14ac:dyDescent="0.2">
      <c r="A117" s="512"/>
      <c r="B117" s="521" t="s">
        <v>632</v>
      </c>
      <c r="C117" s="138" t="s">
        <v>183</v>
      </c>
      <c r="D117" s="144">
        <v>0</v>
      </c>
      <c r="E117" s="144">
        <v>0</v>
      </c>
      <c r="F117" s="144">
        <v>0</v>
      </c>
      <c r="G117" s="144">
        <v>0</v>
      </c>
      <c r="H117" s="291">
        <v>0</v>
      </c>
      <c r="I117" s="579">
        <f t="shared" si="2"/>
        <v>0</v>
      </c>
    </row>
    <row r="118" spans="1:10" ht="10.5" customHeight="1" thickTop="1" thickBot="1" x14ac:dyDescent="0.2">
      <c r="A118" s="512"/>
      <c r="B118" s="521"/>
      <c r="C118" s="138" t="s">
        <v>263</v>
      </c>
      <c r="D118" s="169">
        <f>SUM(D84:D117)</f>
        <v>0</v>
      </c>
      <c r="E118" s="169">
        <f>SUM(E84:E117)</f>
        <v>0</v>
      </c>
      <c r="F118" s="169">
        <f>SUM(F84:F117)</f>
        <v>0</v>
      </c>
      <c r="G118" s="169">
        <f>SUM(G84:G117)</f>
        <v>0</v>
      </c>
      <c r="H118" s="169">
        <f>SUM(H84:H117)</f>
        <v>0</v>
      </c>
      <c r="I118" s="169">
        <f>SUM(G118+H118)</f>
        <v>0</v>
      </c>
    </row>
    <row r="119" spans="1:10" ht="10.5" customHeight="1" thickTop="1" x14ac:dyDescent="0.15">
      <c r="A119" s="512"/>
      <c r="B119" s="521"/>
      <c r="C119" s="138"/>
      <c r="D119" s="14"/>
      <c r="E119" s="14"/>
      <c r="F119" s="14"/>
      <c r="G119" s="14"/>
      <c r="H119" s="198"/>
      <c r="I119" s="170"/>
    </row>
    <row r="120" spans="1:10" ht="10.5" customHeight="1" x14ac:dyDescent="0.15">
      <c r="A120" s="512" t="s">
        <v>645</v>
      </c>
      <c r="C120" s="138"/>
      <c r="D120" s="14"/>
      <c r="E120" s="14"/>
      <c r="F120" s="14"/>
      <c r="G120" s="14"/>
      <c r="H120" s="198"/>
      <c r="I120" s="170"/>
    </row>
    <row r="121" spans="1:10" s="434" customFormat="1" x14ac:dyDescent="0.15">
      <c r="B121" s="523" t="s">
        <v>1577</v>
      </c>
      <c r="C121" s="524" t="s">
        <v>228</v>
      </c>
      <c r="D121" s="316">
        <v>0</v>
      </c>
      <c r="E121" s="316">
        <v>0</v>
      </c>
      <c r="F121" s="316">
        <v>0</v>
      </c>
      <c r="G121" s="528">
        <f t="array" ref="G121">SUM(IF(CertFund&amp;CertProg&amp;CertObj=RIGHT(LEFT($A$2,7),2)&amp;LEFT(A120,4)&amp;B121,CertSalary))</f>
        <v>0</v>
      </c>
      <c r="H121" s="527">
        <v>0</v>
      </c>
      <c r="I121" s="566">
        <f>SUM(G121+H121)</f>
        <v>0</v>
      </c>
    </row>
    <row r="122" spans="1:10" s="434" customFormat="1" x14ac:dyDescent="0.15">
      <c r="B122" s="523" t="s">
        <v>1577</v>
      </c>
      <c r="C122" s="524" t="s">
        <v>510</v>
      </c>
      <c r="D122" s="316">
        <v>0</v>
      </c>
      <c r="E122" s="316">
        <v>0</v>
      </c>
      <c r="F122" s="316">
        <v>0</v>
      </c>
      <c r="G122" s="316">
        <v>0</v>
      </c>
      <c r="H122" s="527">
        <v>0</v>
      </c>
      <c r="I122" s="566">
        <f>SUM(G122+H122)</f>
        <v>0</v>
      </c>
    </row>
    <row r="123" spans="1:10" s="434" customFormat="1" x14ac:dyDescent="0.15">
      <c r="A123" s="524"/>
      <c r="B123" s="523" t="s">
        <v>1578</v>
      </c>
      <c r="C123" s="524" t="s">
        <v>936</v>
      </c>
      <c r="D123" s="316">
        <v>0</v>
      </c>
      <c r="E123" s="316">
        <v>0</v>
      </c>
      <c r="F123" s="316">
        <v>0</v>
      </c>
      <c r="G123" s="529">
        <f t="array" ref="G123">SUM(IF(CertFund&amp;CertProg&amp;CertObj=RIGHT(LEFT($A$2,7),2)&amp;LEFT(A120,4)&amp;B121,CertBen))</f>
        <v>0</v>
      </c>
      <c r="H123" s="527">
        <v>0</v>
      </c>
      <c r="I123" s="566">
        <f>SUM(G123+H123)</f>
        <v>0</v>
      </c>
    </row>
    <row r="124" spans="1:10" x14ac:dyDescent="0.15">
      <c r="A124" s="138"/>
      <c r="B124" s="521" t="s">
        <v>1578</v>
      </c>
      <c r="C124" s="138" t="s">
        <v>511</v>
      </c>
      <c r="D124" s="147">
        <v>0</v>
      </c>
      <c r="E124" s="147">
        <v>0</v>
      </c>
      <c r="F124" s="147">
        <v>0</v>
      </c>
      <c r="G124" s="147">
        <v>0</v>
      </c>
      <c r="H124" s="150">
        <v>0</v>
      </c>
      <c r="I124" s="567">
        <f>SUM(G124+H124)</f>
        <v>0</v>
      </c>
      <c r="J124" s="434"/>
    </row>
    <row r="125" spans="1:10" ht="10.5" customHeight="1" x14ac:dyDescent="0.15">
      <c r="A125" s="512"/>
      <c r="B125" s="521" t="s">
        <v>1579</v>
      </c>
      <c r="C125" s="138" t="s">
        <v>118</v>
      </c>
      <c r="D125" s="147">
        <v>0</v>
      </c>
      <c r="E125" s="147">
        <v>0</v>
      </c>
      <c r="F125" s="147">
        <v>0</v>
      </c>
      <c r="G125" s="147">
        <v>0</v>
      </c>
      <c r="H125" s="291">
        <v>0</v>
      </c>
      <c r="I125" s="579">
        <f t="shared" ref="I125:I148" si="3">SUM(G125+H125)</f>
        <v>0</v>
      </c>
    </row>
    <row r="126" spans="1:10" ht="10.5" customHeight="1" x14ac:dyDescent="0.15">
      <c r="A126" s="512"/>
      <c r="B126" s="521" t="s">
        <v>1580</v>
      </c>
      <c r="C126" s="138" t="s">
        <v>119</v>
      </c>
      <c r="D126" s="147">
        <v>0</v>
      </c>
      <c r="E126" s="147">
        <v>0</v>
      </c>
      <c r="F126" s="147">
        <v>0</v>
      </c>
      <c r="G126" s="147">
        <v>0</v>
      </c>
      <c r="H126" s="291">
        <v>0</v>
      </c>
      <c r="I126" s="579">
        <f t="shared" si="3"/>
        <v>0</v>
      </c>
    </row>
    <row r="127" spans="1:10" ht="10.5" customHeight="1" x14ac:dyDescent="0.15">
      <c r="A127" s="512"/>
      <c r="B127" s="521" t="s">
        <v>120</v>
      </c>
      <c r="C127" s="138" t="s">
        <v>121</v>
      </c>
      <c r="D127" s="147">
        <v>0</v>
      </c>
      <c r="E127" s="147">
        <v>0</v>
      </c>
      <c r="F127" s="147">
        <v>0</v>
      </c>
      <c r="G127" s="147">
        <v>0</v>
      </c>
      <c r="H127" s="291">
        <v>0</v>
      </c>
      <c r="I127" s="579">
        <f t="shared" si="3"/>
        <v>0</v>
      </c>
    </row>
    <row r="128" spans="1:10" ht="10.5" customHeight="1" x14ac:dyDescent="0.15">
      <c r="A128" s="512"/>
      <c r="B128" s="521" t="s">
        <v>122</v>
      </c>
      <c r="C128" s="138" t="s">
        <v>123</v>
      </c>
      <c r="D128" s="147">
        <v>0</v>
      </c>
      <c r="E128" s="147">
        <v>0</v>
      </c>
      <c r="F128" s="147">
        <v>0</v>
      </c>
      <c r="G128" s="147">
        <v>0</v>
      </c>
      <c r="H128" s="291">
        <v>0</v>
      </c>
      <c r="I128" s="579">
        <f t="shared" si="3"/>
        <v>0</v>
      </c>
    </row>
    <row r="129" spans="1:9" ht="10.5" customHeight="1" x14ac:dyDescent="0.15">
      <c r="A129" s="512"/>
      <c r="B129" s="521" t="s">
        <v>1581</v>
      </c>
      <c r="C129" s="138" t="s">
        <v>124</v>
      </c>
      <c r="D129" s="147">
        <v>0</v>
      </c>
      <c r="E129" s="147">
        <v>0</v>
      </c>
      <c r="F129" s="147">
        <v>0</v>
      </c>
      <c r="G129" s="147">
        <v>0</v>
      </c>
      <c r="H129" s="291">
        <v>0</v>
      </c>
      <c r="I129" s="579">
        <f t="shared" si="3"/>
        <v>0</v>
      </c>
    </row>
    <row r="130" spans="1:9" ht="10.5" customHeight="1" x14ac:dyDescent="0.15">
      <c r="A130" s="512"/>
      <c r="B130" s="521" t="s">
        <v>1624</v>
      </c>
      <c r="C130" s="138" t="s">
        <v>840</v>
      </c>
      <c r="D130" s="147">
        <v>0</v>
      </c>
      <c r="E130" s="147">
        <v>0</v>
      </c>
      <c r="F130" s="147">
        <v>0</v>
      </c>
      <c r="G130" s="147">
        <v>0</v>
      </c>
      <c r="H130" s="291">
        <v>0</v>
      </c>
      <c r="I130" s="579">
        <f t="shared" si="3"/>
        <v>0</v>
      </c>
    </row>
    <row r="131" spans="1:9" ht="10.5" customHeight="1" x14ac:dyDescent="0.15">
      <c r="A131" s="512"/>
      <c r="B131" s="521" t="s">
        <v>1625</v>
      </c>
      <c r="C131" s="138" t="s">
        <v>842</v>
      </c>
      <c r="D131" s="147">
        <v>0</v>
      </c>
      <c r="E131" s="147">
        <v>0</v>
      </c>
      <c r="F131" s="147">
        <v>0</v>
      </c>
      <c r="G131" s="147">
        <v>0</v>
      </c>
      <c r="H131" s="291">
        <v>0</v>
      </c>
      <c r="I131" s="579">
        <f t="shared" si="3"/>
        <v>0</v>
      </c>
    </row>
    <row r="132" spans="1:9" ht="10.5" customHeight="1" x14ac:dyDescent="0.15">
      <c r="A132" s="512"/>
      <c r="B132" s="521" t="s">
        <v>843</v>
      </c>
      <c r="C132" s="138" t="s">
        <v>848</v>
      </c>
      <c r="D132" s="147">
        <v>0</v>
      </c>
      <c r="E132" s="147">
        <v>0</v>
      </c>
      <c r="F132" s="147">
        <v>0</v>
      </c>
      <c r="G132" s="147">
        <v>0</v>
      </c>
      <c r="H132" s="291">
        <v>0</v>
      </c>
      <c r="I132" s="579">
        <f t="shared" si="3"/>
        <v>0</v>
      </c>
    </row>
    <row r="133" spans="1:9" ht="10.5" customHeight="1" x14ac:dyDescent="0.15">
      <c r="A133" s="512"/>
      <c r="B133" s="521" t="s">
        <v>844</v>
      </c>
      <c r="C133" s="138" t="s">
        <v>186</v>
      </c>
      <c r="D133" s="147">
        <v>0</v>
      </c>
      <c r="E133" s="147">
        <v>0</v>
      </c>
      <c r="F133" s="147">
        <v>0</v>
      </c>
      <c r="G133" s="147">
        <v>0</v>
      </c>
      <c r="H133" s="291">
        <v>0</v>
      </c>
      <c r="I133" s="579">
        <f t="shared" si="3"/>
        <v>0</v>
      </c>
    </row>
    <row r="134" spans="1:9" ht="10.5" customHeight="1" x14ac:dyDescent="0.15">
      <c r="A134" s="512"/>
      <c r="B134" s="521" t="s">
        <v>845</v>
      </c>
      <c r="C134" s="138" t="s">
        <v>154</v>
      </c>
      <c r="D134" s="147">
        <v>0</v>
      </c>
      <c r="E134" s="147">
        <v>0</v>
      </c>
      <c r="F134" s="147">
        <v>0</v>
      </c>
      <c r="G134" s="147">
        <v>0</v>
      </c>
      <c r="H134" s="291">
        <v>0</v>
      </c>
      <c r="I134" s="579">
        <f t="shared" si="3"/>
        <v>0</v>
      </c>
    </row>
    <row r="135" spans="1:9" ht="10.5" customHeight="1" x14ac:dyDescent="0.15">
      <c r="A135" s="512"/>
      <c r="B135" s="521" t="s">
        <v>846</v>
      </c>
      <c r="C135" s="138" t="s">
        <v>155</v>
      </c>
      <c r="D135" s="147">
        <v>0</v>
      </c>
      <c r="E135" s="147">
        <v>0</v>
      </c>
      <c r="F135" s="147">
        <v>0</v>
      </c>
      <c r="G135" s="147">
        <v>0</v>
      </c>
      <c r="H135" s="291">
        <v>0</v>
      </c>
      <c r="I135" s="579">
        <f t="shared" si="3"/>
        <v>0</v>
      </c>
    </row>
    <row r="136" spans="1:9" ht="10.5" customHeight="1" x14ac:dyDescent="0.15">
      <c r="A136" s="512"/>
      <c r="B136" s="521" t="s">
        <v>332</v>
      </c>
      <c r="C136" s="138" t="s">
        <v>463</v>
      </c>
      <c r="D136" s="147">
        <v>0</v>
      </c>
      <c r="E136" s="147">
        <v>0</v>
      </c>
      <c r="F136" s="147">
        <v>0</v>
      </c>
      <c r="G136" s="147">
        <v>0</v>
      </c>
      <c r="H136" s="291">
        <v>0</v>
      </c>
      <c r="I136" s="579">
        <f t="shared" si="3"/>
        <v>0</v>
      </c>
    </row>
    <row r="137" spans="1:9" ht="10.5" customHeight="1" x14ac:dyDescent="0.15">
      <c r="A137" s="512"/>
      <c r="B137" s="521" t="s">
        <v>1582</v>
      </c>
      <c r="C137" s="138" t="s">
        <v>156</v>
      </c>
      <c r="D137" s="147">
        <v>0</v>
      </c>
      <c r="E137" s="147">
        <v>0</v>
      </c>
      <c r="F137" s="147">
        <v>0</v>
      </c>
      <c r="G137" s="147">
        <v>0</v>
      </c>
      <c r="H137" s="291">
        <v>0</v>
      </c>
      <c r="I137" s="579">
        <f t="shared" si="3"/>
        <v>0</v>
      </c>
    </row>
    <row r="138" spans="1:9" ht="10.5" customHeight="1" x14ac:dyDescent="0.15">
      <c r="A138" s="512"/>
      <c r="B138" s="521" t="s">
        <v>847</v>
      </c>
      <c r="C138" s="138" t="s">
        <v>157</v>
      </c>
      <c r="D138" s="147">
        <v>0</v>
      </c>
      <c r="E138" s="147">
        <v>0</v>
      </c>
      <c r="F138" s="147">
        <v>0</v>
      </c>
      <c r="G138" s="147">
        <v>0</v>
      </c>
      <c r="H138" s="291">
        <v>0</v>
      </c>
      <c r="I138" s="579">
        <f t="shared" si="3"/>
        <v>0</v>
      </c>
    </row>
    <row r="139" spans="1:9" ht="10.5" customHeight="1" x14ac:dyDescent="0.15">
      <c r="A139" s="512"/>
      <c r="B139" s="521" t="s">
        <v>1583</v>
      </c>
      <c r="C139" s="138" t="s">
        <v>160</v>
      </c>
      <c r="D139" s="147">
        <v>0</v>
      </c>
      <c r="E139" s="147">
        <v>0</v>
      </c>
      <c r="F139" s="147">
        <v>0</v>
      </c>
      <c r="G139" s="147">
        <v>0</v>
      </c>
      <c r="H139" s="291">
        <v>0</v>
      </c>
      <c r="I139" s="579">
        <f t="shared" si="3"/>
        <v>0</v>
      </c>
    </row>
    <row r="140" spans="1:9" ht="10.5" customHeight="1" x14ac:dyDescent="0.15">
      <c r="A140" s="512"/>
      <c r="B140" s="521" t="s">
        <v>634</v>
      </c>
      <c r="C140" s="138" t="s">
        <v>165</v>
      </c>
      <c r="D140" s="147">
        <v>0</v>
      </c>
      <c r="E140" s="147">
        <v>0</v>
      </c>
      <c r="F140" s="147">
        <v>0</v>
      </c>
      <c r="G140" s="147">
        <v>0</v>
      </c>
      <c r="H140" s="291">
        <v>0</v>
      </c>
      <c r="I140" s="579">
        <f t="shared" si="3"/>
        <v>0</v>
      </c>
    </row>
    <row r="141" spans="1:9" ht="10.5" customHeight="1" x14ac:dyDescent="0.15">
      <c r="A141" s="512"/>
      <c r="B141" s="521" t="s">
        <v>630</v>
      </c>
      <c r="C141" s="138" t="s">
        <v>172</v>
      </c>
      <c r="D141" s="147">
        <v>0</v>
      </c>
      <c r="E141" s="147">
        <v>0</v>
      </c>
      <c r="F141" s="147">
        <v>0</v>
      </c>
      <c r="G141" s="147">
        <v>0</v>
      </c>
      <c r="H141" s="291">
        <v>0</v>
      </c>
      <c r="I141" s="579">
        <f t="shared" si="3"/>
        <v>0</v>
      </c>
    </row>
    <row r="142" spans="1:9" ht="10.5" customHeight="1" x14ac:dyDescent="0.15">
      <c r="A142" s="512"/>
      <c r="B142" s="650" t="s">
        <v>631</v>
      </c>
      <c r="C142" s="651" t="s">
        <v>173</v>
      </c>
      <c r="D142" s="147">
        <v>0</v>
      </c>
      <c r="E142" s="147">
        <v>0</v>
      </c>
      <c r="F142" s="147">
        <v>0</v>
      </c>
      <c r="G142" s="147">
        <v>0</v>
      </c>
      <c r="H142" s="291">
        <v>0</v>
      </c>
      <c r="I142" s="579">
        <f t="shared" si="3"/>
        <v>0</v>
      </c>
    </row>
    <row r="143" spans="1:9" ht="10.5" customHeight="1" x14ac:dyDescent="0.15">
      <c r="A143" s="512"/>
      <c r="B143" s="521" t="s">
        <v>1584</v>
      </c>
      <c r="C143" s="138" t="s">
        <v>178</v>
      </c>
      <c r="D143" s="147">
        <v>0</v>
      </c>
      <c r="E143" s="147">
        <v>0</v>
      </c>
      <c r="F143" s="147">
        <v>0</v>
      </c>
      <c r="G143" s="147">
        <v>0</v>
      </c>
      <c r="H143" s="291">
        <v>0</v>
      </c>
      <c r="I143" s="579">
        <f t="shared" si="3"/>
        <v>0</v>
      </c>
    </row>
    <row r="144" spans="1:9" ht="10.5" customHeight="1" x14ac:dyDescent="0.15">
      <c r="A144" s="512"/>
      <c r="B144" s="521" t="s">
        <v>174</v>
      </c>
      <c r="C144" s="138" t="s">
        <v>179</v>
      </c>
      <c r="D144" s="147">
        <v>0</v>
      </c>
      <c r="E144" s="147">
        <v>0</v>
      </c>
      <c r="F144" s="147">
        <v>0</v>
      </c>
      <c r="G144" s="147">
        <v>0</v>
      </c>
      <c r="H144" s="291">
        <v>0</v>
      </c>
      <c r="I144" s="579">
        <f t="shared" si="3"/>
        <v>0</v>
      </c>
    </row>
    <row r="145" spans="1:10" ht="10.5" customHeight="1" x14ac:dyDescent="0.15">
      <c r="A145" s="512"/>
      <c r="B145" s="521" t="s">
        <v>175</v>
      </c>
      <c r="C145" s="138" t="s">
        <v>180</v>
      </c>
      <c r="D145" s="147">
        <v>0</v>
      </c>
      <c r="E145" s="147">
        <v>0</v>
      </c>
      <c r="F145" s="147">
        <v>0</v>
      </c>
      <c r="G145" s="147">
        <v>0</v>
      </c>
      <c r="H145" s="291">
        <v>0</v>
      </c>
      <c r="I145" s="579">
        <f t="shared" si="3"/>
        <v>0</v>
      </c>
    </row>
    <row r="146" spans="1:10" ht="10.5" customHeight="1" x14ac:dyDescent="0.15">
      <c r="A146" s="512"/>
      <c r="B146" s="521" t="s">
        <v>176</v>
      </c>
      <c r="C146" s="138" t="s">
        <v>181</v>
      </c>
      <c r="D146" s="147">
        <v>0</v>
      </c>
      <c r="E146" s="147">
        <v>0</v>
      </c>
      <c r="F146" s="147">
        <v>0</v>
      </c>
      <c r="G146" s="147">
        <v>0</v>
      </c>
      <c r="H146" s="291">
        <v>0</v>
      </c>
      <c r="I146" s="579">
        <f t="shared" si="3"/>
        <v>0</v>
      </c>
    </row>
    <row r="147" spans="1:10" ht="10.5" customHeight="1" x14ac:dyDescent="0.15">
      <c r="A147" s="512"/>
      <c r="B147" s="521" t="s">
        <v>177</v>
      </c>
      <c r="C147" s="138" t="s">
        <v>182</v>
      </c>
      <c r="D147" s="147">
        <v>0</v>
      </c>
      <c r="E147" s="147">
        <v>0</v>
      </c>
      <c r="F147" s="147">
        <v>0</v>
      </c>
      <c r="G147" s="147">
        <v>0</v>
      </c>
      <c r="H147" s="291">
        <v>0</v>
      </c>
      <c r="I147" s="579">
        <f t="shared" si="3"/>
        <v>0</v>
      </c>
    </row>
    <row r="148" spans="1:10" ht="10.5" customHeight="1" thickBot="1" x14ac:dyDescent="0.2">
      <c r="A148" s="512"/>
      <c r="B148" s="521" t="s">
        <v>632</v>
      </c>
      <c r="C148" s="138" t="s">
        <v>183</v>
      </c>
      <c r="D148" s="144">
        <v>0</v>
      </c>
      <c r="E148" s="144">
        <v>0</v>
      </c>
      <c r="F148" s="144">
        <v>0</v>
      </c>
      <c r="G148" s="144">
        <v>0</v>
      </c>
      <c r="H148" s="291">
        <v>0</v>
      </c>
      <c r="I148" s="579">
        <f t="shared" si="3"/>
        <v>0</v>
      </c>
    </row>
    <row r="149" spans="1:10" ht="10.5" customHeight="1" thickTop="1" thickBot="1" x14ac:dyDescent="0.2">
      <c r="A149" s="512"/>
      <c r="B149" s="521"/>
      <c r="C149" s="138" t="s">
        <v>646</v>
      </c>
      <c r="D149" s="169">
        <f>SUM(D121:D148)</f>
        <v>0</v>
      </c>
      <c r="E149" s="169">
        <f>SUM(E121:E148)</f>
        <v>0</v>
      </c>
      <c r="F149" s="169">
        <f>SUM(F121:F148)</f>
        <v>0</v>
      </c>
      <c r="G149" s="169">
        <f>SUM(G121:G148)</f>
        <v>0</v>
      </c>
      <c r="H149" s="169">
        <f>SUM(H121:H148)</f>
        <v>0</v>
      </c>
      <c r="I149" s="169">
        <f>SUM(G149+H149)</f>
        <v>0</v>
      </c>
    </row>
    <row r="150" spans="1:10" ht="10.5" customHeight="1" thickTop="1" x14ac:dyDescent="0.15">
      <c r="A150" s="512"/>
      <c r="B150" s="521"/>
      <c r="C150" s="138"/>
      <c r="D150" s="14"/>
      <c r="E150" s="14"/>
      <c r="F150" s="14"/>
      <c r="G150" s="14"/>
      <c r="H150" s="14"/>
      <c r="I150" s="563"/>
    </row>
    <row r="151" spans="1:10" ht="10.5" customHeight="1" x14ac:dyDescent="0.15">
      <c r="A151" s="512" t="s">
        <v>621</v>
      </c>
      <c r="C151" s="138"/>
      <c r="D151" s="14"/>
      <c r="E151" s="14"/>
      <c r="F151" s="14"/>
      <c r="G151" s="14"/>
      <c r="H151" s="14"/>
      <c r="I151" s="563"/>
    </row>
    <row r="152" spans="1:10" s="434" customFormat="1" x14ac:dyDescent="0.15">
      <c r="B152" s="523" t="s">
        <v>1577</v>
      </c>
      <c r="C152" s="524" t="s">
        <v>228</v>
      </c>
      <c r="D152" s="316">
        <v>0</v>
      </c>
      <c r="E152" s="316">
        <v>0</v>
      </c>
      <c r="F152" s="316">
        <v>0</v>
      </c>
      <c r="G152" s="528">
        <f t="array" ref="G152">SUM(IF(CertFund&amp;CertProg&amp;CertObj=RIGHT(LEFT($A$2,7),2)&amp;LEFT(A151,4)&amp;B152,CertSalary))</f>
        <v>0</v>
      </c>
      <c r="H152" s="527">
        <v>0</v>
      </c>
      <c r="I152" s="566">
        <f>SUM(G152+H152)</f>
        <v>0</v>
      </c>
    </row>
    <row r="153" spans="1:10" s="434" customFormat="1" x14ac:dyDescent="0.15">
      <c r="B153" s="523" t="s">
        <v>1577</v>
      </c>
      <c r="C153" s="524" t="s">
        <v>510</v>
      </c>
      <c r="D153" s="316">
        <v>0</v>
      </c>
      <c r="E153" s="316">
        <v>0</v>
      </c>
      <c r="F153" s="316">
        <v>0</v>
      </c>
      <c r="G153" s="316">
        <v>0</v>
      </c>
      <c r="H153" s="527">
        <v>0</v>
      </c>
      <c r="I153" s="566">
        <f>SUM(G153+H153)</f>
        <v>0</v>
      </c>
    </row>
    <row r="154" spans="1:10" s="434" customFormat="1" x14ac:dyDescent="0.15">
      <c r="A154" s="524"/>
      <c r="B154" s="523" t="s">
        <v>1578</v>
      </c>
      <c r="C154" s="524" t="s">
        <v>936</v>
      </c>
      <c r="D154" s="316">
        <v>0</v>
      </c>
      <c r="E154" s="316">
        <v>0</v>
      </c>
      <c r="F154" s="316">
        <v>0</v>
      </c>
      <c r="G154" s="529">
        <f t="array" ref="G154">SUM(IF(CertFund&amp;CertProg&amp;CertObj=RIGHT(LEFT($A$2,7),2)&amp;LEFT(A151,4)&amp;B152,CertBen))</f>
        <v>0</v>
      </c>
      <c r="H154" s="527">
        <v>0</v>
      </c>
      <c r="I154" s="566">
        <f>SUM(G154+H154)</f>
        <v>0</v>
      </c>
    </row>
    <row r="155" spans="1:10" x14ac:dyDescent="0.15">
      <c r="A155" s="138"/>
      <c r="B155" s="521" t="s">
        <v>1578</v>
      </c>
      <c r="C155" s="138" t="s">
        <v>511</v>
      </c>
      <c r="D155" s="147">
        <v>0</v>
      </c>
      <c r="E155" s="147">
        <v>0</v>
      </c>
      <c r="F155" s="147">
        <v>0</v>
      </c>
      <c r="G155" s="147">
        <v>0</v>
      </c>
      <c r="H155" s="150">
        <v>0</v>
      </c>
      <c r="I155" s="567">
        <f>SUM(G155+H155)</f>
        <v>0</v>
      </c>
      <c r="J155" s="434"/>
    </row>
    <row r="156" spans="1:10" ht="10.5" customHeight="1" x14ac:dyDescent="0.15">
      <c r="A156" s="512"/>
      <c r="B156" s="521" t="s">
        <v>1579</v>
      </c>
      <c r="C156" s="138" t="s">
        <v>118</v>
      </c>
      <c r="D156" s="147">
        <v>0</v>
      </c>
      <c r="E156" s="147">
        <v>0</v>
      </c>
      <c r="F156" s="147">
        <v>0</v>
      </c>
      <c r="G156" s="291">
        <v>0</v>
      </c>
      <c r="H156" s="291">
        <v>0</v>
      </c>
      <c r="I156" s="579">
        <f t="shared" ref="I156:I185" si="4">SUM(G156+H156)</f>
        <v>0</v>
      </c>
    </row>
    <row r="157" spans="1:10" ht="10.5" customHeight="1" x14ac:dyDescent="0.15">
      <c r="A157" s="512"/>
      <c r="B157" s="521" t="s">
        <v>1580</v>
      </c>
      <c r="C157" s="138" t="s">
        <v>119</v>
      </c>
      <c r="D157" s="147">
        <v>0</v>
      </c>
      <c r="E157" s="147">
        <v>0</v>
      </c>
      <c r="F157" s="147">
        <v>0</v>
      </c>
      <c r="G157" s="291">
        <v>0</v>
      </c>
      <c r="H157" s="291">
        <v>0</v>
      </c>
      <c r="I157" s="579">
        <f t="shared" si="4"/>
        <v>0</v>
      </c>
    </row>
    <row r="158" spans="1:10" ht="10.5" customHeight="1" x14ac:dyDescent="0.15">
      <c r="A158" s="512"/>
      <c r="B158" s="521" t="s">
        <v>120</v>
      </c>
      <c r="C158" s="138" t="s">
        <v>121</v>
      </c>
      <c r="D158" s="147">
        <v>0</v>
      </c>
      <c r="E158" s="147">
        <v>0</v>
      </c>
      <c r="F158" s="147">
        <v>0</v>
      </c>
      <c r="G158" s="147">
        <v>0</v>
      </c>
      <c r="H158" s="291">
        <v>0</v>
      </c>
      <c r="I158" s="579">
        <f t="shared" si="4"/>
        <v>0</v>
      </c>
    </row>
    <row r="159" spans="1:10" ht="10.5" customHeight="1" x14ac:dyDescent="0.15">
      <c r="A159" s="512"/>
      <c r="B159" s="521" t="s">
        <v>122</v>
      </c>
      <c r="C159" s="138" t="s">
        <v>123</v>
      </c>
      <c r="D159" s="147">
        <v>0</v>
      </c>
      <c r="E159" s="147">
        <v>0</v>
      </c>
      <c r="F159" s="147">
        <v>0</v>
      </c>
      <c r="G159" s="147">
        <v>0</v>
      </c>
      <c r="H159" s="291">
        <v>0</v>
      </c>
      <c r="I159" s="579">
        <f t="shared" si="4"/>
        <v>0</v>
      </c>
    </row>
    <row r="160" spans="1:10" ht="10.5" customHeight="1" x14ac:dyDescent="0.15">
      <c r="A160" s="512"/>
      <c r="B160" s="521" t="s">
        <v>1581</v>
      </c>
      <c r="C160" s="138" t="s">
        <v>124</v>
      </c>
      <c r="D160" s="147">
        <v>0</v>
      </c>
      <c r="E160" s="147">
        <v>0</v>
      </c>
      <c r="F160" s="147">
        <v>0</v>
      </c>
      <c r="G160" s="147">
        <v>0</v>
      </c>
      <c r="H160" s="291">
        <v>0</v>
      </c>
      <c r="I160" s="579">
        <f t="shared" si="4"/>
        <v>0</v>
      </c>
    </row>
    <row r="161" spans="1:9" ht="10.5" customHeight="1" x14ac:dyDescent="0.15">
      <c r="A161" s="512"/>
      <c r="B161" s="521" t="s">
        <v>125</v>
      </c>
      <c r="C161" s="138" t="s">
        <v>133</v>
      </c>
      <c r="D161" s="147">
        <v>0</v>
      </c>
      <c r="E161" s="147">
        <v>0</v>
      </c>
      <c r="F161" s="147">
        <v>0</v>
      </c>
      <c r="G161" s="147">
        <v>0</v>
      </c>
      <c r="H161" s="291">
        <v>0</v>
      </c>
      <c r="I161" s="579">
        <f t="shared" si="4"/>
        <v>0</v>
      </c>
    </row>
    <row r="162" spans="1:9" ht="10.5" customHeight="1" x14ac:dyDescent="0.15">
      <c r="A162" s="512"/>
      <c r="B162" s="521" t="s">
        <v>126</v>
      </c>
      <c r="C162" s="138" t="s">
        <v>187</v>
      </c>
      <c r="D162" s="147">
        <v>0</v>
      </c>
      <c r="E162" s="147">
        <v>0</v>
      </c>
      <c r="F162" s="147">
        <v>0</v>
      </c>
      <c r="G162" s="147">
        <v>0</v>
      </c>
      <c r="H162" s="291">
        <v>0</v>
      </c>
      <c r="I162" s="579">
        <f t="shared" si="4"/>
        <v>0</v>
      </c>
    </row>
    <row r="163" spans="1:9" ht="10.5" customHeight="1" x14ac:dyDescent="0.15">
      <c r="A163" s="512"/>
      <c r="B163" s="521" t="s">
        <v>127</v>
      </c>
      <c r="C163" s="138" t="s">
        <v>134</v>
      </c>
      <c r="D163" s="147">
        <v>0</v>
      </c>
      <c r="E163" s="147">
        <v>0</v>
      </c>
      <c r="F163" s="147">
        <v>0</v>
      </c>
      <c r="G163" s="147">
        <v>0</v>
      </c>
      <c r="H163" s="291">
        <v>0</v>
      </c>
      <c r="I163" s="579">
        <f t="shared" si="4"/>
        <v>0</v>
      </c>
    </row>
    <row r="164" spans="1:9" ht="10.5" customHeight="1" x14ac:dyDescent="0.15">
      <c r="A164" s="512"/>
      <c r="B164" s="521" t="s">
        <v>128</v>
      </c>
      <c r="C164" s="138" t="s">
        <v>135</v>
      </c>
      <c r="D164" s="147">
        <v>0</v>
      </c>
      <c r="E164" s="147">
        <v>0</v>
      </c>
      <c r="F164" s="147">
        <v>0</v>
      </c>
      <c r="G164" s="147">
        <v>0</v>
      </c>
      <c r="H164" s="291">
        <v>0</v>
      </c>
      <c r="I164" s="579">
        <f t="shared" si="4"/>
        <v>0</v>
      </c>
    </row>
    <row r="165" spans="1:9" ht="10.5" customHeight="1" x14ac:dyDescent="0.15">
      <c r="A165" s="512"/>
      <c r="B165" s="521" t="s">
        <v>129</v>
      </c>
      <c r="C165" s="138" t="s">
        <v>136</v>
      </c>
      <c r="D165" s="147">
        <v>0</v>
      </c>
      <c r="E165" s="147">
        <v>0</v>
      </c>
      <c r="F165" s="147">
        <v>0</v>
      </c>
      <c r="G165" s="147">
        <v>0</v>
      </c>
      <c r="H165" s="291">
        <v>0</v>
      </c>
      <c r="I165" s="579">
        <f t="shared" si="4"/>
        <v>0</v>
      </c>
    </row>
    <row r="166" spans="1:9" ht="10.5" customHeight="1" x14ac:dyDescent="0.15">
      <c r="A166" s="512"/>
      <c r="B166" s="521" t="s">
        <v>130</v>
      </c>
      <c r="C166" s="138" t="s">
        <v>188</v>
      </c>
      <c r="D166" s="147">
        <v>0</v>
      </c>
      <c r="E166" s="147">
        <v>0</v>
      </c>
      <c r="F166" s="147">
        <v>0</v>
      </c>
      <c r="G166" s="147">
        <v>0</v>
      </c>
      <c r="H166" s="291">
        <v>0</v>
      </c>
      <c r="I166" s="579">
        <f t="shared" si="4"/>
        <v>0</v>
      </c>
    </row>
    <row r="167" spans="1:9" ht="10.5" customHeight="1" x14ac:dyDescent="0.15">
      <c r="A167" s="512"/>
      <c r="B167" s="521" t="s">
        <v>131</v>
      </c>
      <c r="C167" s="138" t="s">
        <v>137</v>
      </c>
      <c r="D167" s="147">
        <v>0</v>
      </c>
      <c r="E167" s="147">
        <v>0</v>
      </c>
      <c r="F167" s="147">
        <v>0</v>
      </c>
      <c r="G167" s="147">
        <v>0</v>
      </c>
      <c r="H167" s="291">
        <v>0</v>
      </c>
      <c r="I167" s="579">
        <f t="shared" si="4"/>
        <v>0</v>
      </c>
    </row>
    <row r="168" spans="1:9" ht="10.5" customHeight="1" x14ac:dyDescent="0.15">
      <c r="A168" s="512"/>
      <c r="B168" s="521" t="s">
        <v>132</v>
      </c>
      <c r="C168" s="138" t="s">
        <v>1617</v>
      </c>
      <c r="D168" s="147">
        <v>0</v>
      </c>
      <c r="E168" s="147">
        <v>0</v>
      </c>
      <c r="F168" s="147">
        <v>0</v>
      </c>
      <c r="G168" s="147">
        <v>0</v>
      </c>
      <c r="H168" s="291">
        <v>0</v>
      </c>
      <c r="I168" s="579">
        <f t="shared" si="4"/>
        <v>0</v>
      </c>
    </row>
    <row r="169" spans="1:9" ht="10.5" customHeight="1" x14ac:dyDescent="0.15">
      <c r="A169" s="512"/>
      <c r="B169" s="521" t="s">
        <v>1624</v>
      </c>
      <c r="C169" s="138" t="s">
        <v>840</v>
      </c>
      <c r="D169" s="147">
        <v>0</v>
      </c>
      <c r="E169" s="147">
        <v>0</v>
      </c>
      <c r="F169" s="147">
        <v>0</v>
      </c>
      <c r="G169" s="147">
        <v>0</v>
      </c>
      <c r="H169" s="291">
        <v>0</v>
      </c>
      <c r="I169" s="579">
        <f t="shared" si="4"/>
        <v>0</v>
      </c>
    </row>
    <row r="170" spans="1:9" ht="10.5" customHeight="1" x14ac:dyDescent="0.15">
      <c r="A170" s="512"/>
      <c r="B170" s="521" t="s">
        <v>1625</v>
      </c>
      <c r="C170" s="138" t="s">
        <v>842</v>
      </c>
      <c r="D170" s="147">
        <v>0</v>
      </c>
      <c r="E170" s="147">
        <v>0</v>
      </c>
      <c r="F170" s="147">
        <v>0</v>
      </c>
      <c r="G170" s="147">
        <v>0</v>
      </c>
      <c r="H170" s="291">
        <v>0</v>
      </c>
      <c r="I170" s="579">
        <f t="shared" si="4"/>
        <v>0</v>
      </c>
    </row>
    <row r="171" spans="1:9" ht="10.5" customHeight="1" x14ac:dyDescent="0.15">
      <c r="A171" s="512"/>
      <c r="B171" s="521" t="s">
        <v>843</v>
      </c>
      <c r="C171" s="138" t="s">
        <v>848</v>
      </c>
      <c r="D171" s="147">
        <v>0</v>
      </c>
      <c r="E171" s="147">
        <v>0</v>
      </c>
      <c r="F171" s="147">
        <v>0</v>
      </c>
      <c r="G171" s="147">
        <v>0</v>
      </c>
      <c r="H171" s="291">
        <v>0</v>
      </c>
      <c r="I171" s="579">
        <f t="shared" si="4"/>
        <v>0</v>
      </c>
    </row>
    <row r="172" spans="1:9" ht="10.5" customHeight="1" x14ac:dyDescent="0.15">
      <c r="A172" s="512"/>
      <c r="B172" s="521" t="s">
        <v>844</v>
      </c>
      <c r="C172" s="138" t="s">
        <v>186</v>
      </c>
      <c r="D172" s="147">
        <v>0</v>
      </c>
      <c r="E172" s="147">
        <v>0</v>
      </c>
      <c r="F172" s="147">
        <v>0</v>
      </c>
      <c r="G172" s="147">
        <v>0</v>
      </c>
      <c r="H172" s="291">
        <v>0</v>
      </c>
      <c r="I172" s="579">
        <f t="shared" si="4"/>
        <v>0</v>
      </c>
    </row>
    <row r="173" spans="1:9" ht="10.5" customHeight="1" x14ac:dyDescent="0.15">
      <c r="A173" s="512"/>
      <c r="B173" s="521" t="s">
        <v>845</v>
      </c>
      <c r="C173" s="138" t="s">
        <v>154</v>
      </c>
      <c r="D173" s="147">
        <v>0</v>
      </c>
      <c r="E173" s="147">
        <v>0</v>
      </c>
      <c r="F173" s="147">
        <v>0</v>
      </c>
      <c r="G173" s="147">
        <v>0</v>
      </c>
      <c r="H173" s="291">
        <v>0</v>
      </c>
      <c r="I173" s="579">
        <f t="shared" si="4"/>
        <v>0</v>
      </c>
    </row>
    <row r="174" spans="1:9" ht="10.5" customHeight="1" x14ac:dyDescent="0.15">
      <c r="A174" s="512"/>
      <c r="B174" s="521" t="s">
        <v>846</v>
      </c>
      <c r="C174" s="138" t="s">
        <v>155</v>
      </c>
      <c r="D174" s="147">
        <v>0</v>
      </c>
      <c r="E174" s="147">
        <v>0</v>
      </c>
      <c r="F174" s="147">
        <v>0</v>
      </c>
      <c r="G174" s="147">
        <v>0</v>
      </c>
      <c r="H174" s="291">
        <v>0</v>
      </c>
      <c r="I174" s="579">
        <f t="shared" si="4"/>
        <v>0</v>
      </c>
    </row>
    <row r="175" spans="1:9" ht="10.5" customHeight="1" x14ac:dyDescent="0.15">
      <c r="A175" s="512"/>
      <c r="B175" s="521" t="s">
        <v>1582</v>
      </c>
      <c r="C175" s="138" t="s">
        <v>156</v>
      </c>
      <c r="D175" s="147">
        <v>0</v>
      </c>
      <c r="E175" s="147">
        <v>0</v>
      </c>
      <c r="F175" s="147">
        <v>0</v>
      </c>
      <c r="G175" s="147">
        <v>0</v>
      </c>
      <c r="H175" s="291">
        <v>0</v>
      </c>
      <c r="I175" s="579">
        <f t="shared" si="4"/>
        <v>0</v>
      </c>
    </row>
    <row r="176" spans="1:9" ht="10.5" customHeight="1" x14ac:dyDescent="0.15">
      <c r="A176" s="512"/>
      <c r="B176" s="521" t="s">
        <v>847</v>
      </c>
      <c r="C176" s="138" t="s">
        <v>157</v>
      </c>
      <c r="D176" s="147">
        <v>0</v>
      </c>
      <c r="E176" s="147">
        <v>0</v>
      </c>
      <c r="F176" s="147">
        <v>0</v>
      </c>
      <c r="G176" s="147">
        <v>0</v>
      </c>
      <c r="H176" s="291">
        <v>0</v>
      </c>
      <c r="I176" s="579">
        <f t="shared" si="4"/>
        <v>0</v>
      </c>
    </row>
    <row r="177" spans="1:9" ht="10.5" customHeight="1" x14ac:dyDescent="0.15">
      <c r="A177" s="512"/>
      <c r="B177" s="521" t="s">
        <v>1583</v>
      </c>
      <c r="C177" s="138" t="s">
        <v>160</v>
      </c>
      <c r="D177" s="147">
        <v>0</v>
      </c>
      <c r="E177" s="147">
        <v>0</v>
      </c>
      <c r="F177" s="147">
        <v>0</v>
      </c>
      <c r="G177" s="147">
        <v>0</v>
      </c>
      <c r="H177" s="291">
        <v>0</v>
      </c>
      <c r="I177" s="579">
        <f t="shared" si="4"/>
        <v>0</v>
      </c>
    </row>
    <row r="178" spans="1:9" ht="10.5" customHeight="1" x14ac:dyDescent="0.15">
      <c r="A178" s="512"/>
      <c r="B178" s="521" t="s">
        <v>634</v>
      </c>
      <c r="C178" s="138" t="s">
        <v>165</v>
      </c>
      <c r="D178" s="147">
        <v>0</v>
      </c>
      <c r="E178" s="147">
        <v>0</v>
      </c>
      <c r="F178" s="147">
        <v>0</v>
      </c>
      <c r="G178" s="147">
        <v>0</v>
      </c>
      <c r="H178" s="291">
        <v>0</v>
      </c>
      <c r="I178" s="579">
        <f t="shared" si="4"/>
        <v>0</v>
      </c>
    </row>
    <row r="179" spans="1:9" ht="10.5" customHeight="1" x14ac:dyDescent="0.15">
      <c r="A179" s="512"/>
      <c r="B179" s="521" t="s">
        <v>630</v>
      </c>
      <c r="C179" s="138" t="s">
        <v>172</v>
      </c>
      <c r="D179" s="147">
        <v>0</v>
      </c>
      <c r="E179" s="147">
        <v>0</v>
      </c>
      <c r="F179" s="147">
        <v>0</v>
      </c>
      <c r="G179" s="147">
        <v>0</v>
      </c>
      <c r="H179" s="291">
        <v>0</v>
      </c>
      <c r="I179" s="579">
        <f t="shared" si="4"/>
        <v>0</v>
      </c>
    </row>
    <row r="180" spans="1:9" ht="10.5" customHeight="1" x14ac:dyDescent="0.15">
      <c r="A180" s="512"/>
      <c r="B180" s="650" t="s">
        <v>631</v>
      </c>
      <c r="C180" s="651" t="s">
        <v>173</v>
      </c>
      <c r="D180" s="147">
        <v>0</v>
      </c>
      <c r="E180" s="147">
        <v>0</v>
      </c>
      <c r="F180" s="147">
        <v>0</v>
      </c>
      <c r="G180" s="147">
        <v>0</v>
      </c>
      <c r="H180" s="291">
        <v>0</v>
      </c>
      <c r="I180" s="579">
        <f t="shared" si="4"/>
        <v>0</v>
      </c>
    </row>
    <row r="181" spans="1:9" ht="10.5" customHeight="1" x14ac:dyDescent="0.15">
      <c r="A181" s="512"/>
      <c r="B181" s="521" t="s">
        <v>1584</v>
      </c>
      <c r="C181" s="138" t="s">
        <v>178</v>
      </c>
      <c r="D181" s="147">
        <v>0</v>
      </c>
      <c r="E181" s="147">
        <v>0</v>
      </c>
      <c r="F181" s="147">
        <v>0</v>
      </c>
      <c r="G181" s="147">
        <v>0</v>
      </c>
      <c r="H181" s="291">
        <v>0</v>
      </c>
      <c r="I181" s="579">
        <f t="shared" si="4"/>
        <v>0</v>
      </c>
    </row>
    <row r="182" spans="1:9" ht="10.5" customHeight="1" x14ac:dyDescent="0.15">
      <c r="A182" s="512"/>
      <c r="B182" s="521" t="s">
        <v>174</v>
      </c>
      <c r="C182" s="138" t="s">
        <v>179</v>
      </c>
      <c r="D182" s="147">
        <v>0</v>
      </c>
      <c r="E182" s="147">
        <v>0</v>
      </c>
      <c r="F182" s="147">
        <v>0</v>
      </c>
      <c r="G182" s="147">
        <v>0</v>
      </c>
      <c r="H182" s="291">
        <v>0</v>
      </c>
      <c r="I182" s="579">
        <f t="shared" si="4"/>
        <v>0</v>
      </c>
    </row>
    <row r="183" spans="1:9" ht="10.5" customHeight="1" x14ac:dyDescent="0.15">
      <c r="A183" s="512"/>
      <c r="B183" s="521" t="s">
        <v>175</v>
      </c>
      <c r="C183" s="138" t="s">
        <v>180</v>
      </c>
      <c r="D183" s="147">
        <v>0</v>
      </c>
      <c r="E183" s="147">
        <v>0</v>
      </c>
      <c r="F183" s="147">
        <v>0</v>
      </c>
      <c r="G183" s="147">
        <v>0</v>
      </c>
      <c r="H183" s="291">
        <v>0</v>
      </c>
      <c r="I183" s="579">
        <f t="shared" si="4"/>
        <v>0</v>
      </c>
    </row>
    <row r="184" spans="1:9" ht="10.5" customHeight="1" x14ac:dyDescent="0.15">
      <c r="A184" s="512"/>
      <c r="B184" s="521" t="s">
        <v>176</v>
      </c>
      <c r="C184" s="138" t="s">
        <v>181</v>
      </c>
      <c r="D184" s="147">
        <v>0</v>
      </c>
      <c r="E184" s="147">
        <v>0</v>
      </c>
      <c r="F184" s="147">
        <v>0</v>
      </c>
      <c r="G184" s="147">
        <v>0</v>
      </c>
      <c r="H184" s="291">
        <v>0</v>
      </c>
      <c r="I184" s="579">
        <f t="shared" si="4"/>
        <v>0</v>
      </c>
    </row>
    <row r="185" spans="1:9" ht="10.5" customHeight="1" x14ac:dyDescent="0.15">
      <c r="A185" s="512"/>
      <c r="B185" s="521" t="s">
        <v>177</v>
      </c>
      <c r="C185" s="138" t="s">
        <v>182</v>
      </c>
      <c r="D185" s="147">
        <v>0</v>
      </c>
      <c r="E185" s="147">
        <v>0</v>
      </c>
      <c r="F185" s="147">
        <v>0</v>
      </c>
      <c r="G185" s="147">
        <v>0</v>
      </c>
      <c r="H185" s="291">
        <v>0</v>
      </c>
      <c r="I185" s="579">
        <f t="shared" si="4"/>
        <v>0</v>
      </c>
    </row>
    <row r="186" spans="1:9" ht="10.5" customHeight="1" thickBot="1" x14ac:dyDescent="0.2">
      <c r="A186" s="512"/>
      <c r="B186" s="521" t="s">
        <v>632</v>
      </c>
      <c r="C186" s="138" t="s">
        <v>183</v>
      </c>
      <c r="D186" s="144">
        <v>0</v>
      </c>
      <c r="E186" s="144">
        <v>0</v>
      </c>
      <c r="F186" s="144">
        <v>0</v>
      </c>
      <c r="G186" s="144">
        <v>0</v>
      </c>
      <c r="H186" s="291">
        <v>0</v>
      </c>
      <c r="I186" s="579">
        <f>SUM(G186+H186)</f>
        <v>0</v>
      </c>
    </row>
    <row r="187" spans="1:9" ht="10.5" customHeight="1" thickTop="1" thickBot="1" x14ac:dyDescent="0.2">
      <c r="B187" s="521"/>
      <c r="C187" s="138" t="s">
        <v>622</v>
      </c>
      <c r="D187" s="169">
        <f>SUM(D152:D186)</f>
        <v>0</v>
      </c>
      <c r="E187" s="169">
        <f>SUM(E152:E186)</f>
        <v>0</v>
      </c>
      <c r="F187" s="169">
        <f>SUM(F152:F186)</f>
        <v>0</v>
      </c>
      <c r="G187" s="169">
        <f>SUM(G152:G186)</f>
        <v>0</v>
      </c>
      <c r="H187" s="169">
        <f>SUM(H152:H186)</f>
        <v>0</v>
      </c>
      <c r="I187" s="169">
        <f>SUM(G187+H187)</f>
        <v>0</v>
      </c>
    </row>
    <row r="188" spans="1:9" ht="10.5" customHeight="1" thickTop="1" x14ac:dyDescent="0.15">
      <c r="B188" s="521"/>
      <c r="C188" s="138"/>
      <c r="D188" s="14"/>
      <c r="E188" s="14"/>
      <c r="F188" s="14"/>
      <c r="G188" s="14"/>
      <c r="H188" s="198"/>
      <c r="I188" s="170"/>
    </row>
    <row r="189" spans="1:9" ht="10.5" customHeight="1" x14ac:dyDescent="0.15">
      <c r="A189" s="512" t="s">
        <v>623</v>
      </c>
      <c r="C189" s="138"/>
      <c r="D189" s="14"/>
      <c r="E189" s="14"/>
      <c r="F189" s="14"/>
      <c r="G189" s="14"/>
      <c r="H189" s="198"/>
      <c r="I189" s="170"/>
    </row>
    <row r="190" spans="1:9" s="434" customFormat="1" x14ac:dyDescent="0.15">
      <c r="B190" s="523" t="s">
        <v>1577</v>
      </c>
      <c r="C190" s="524" t="s">
        <v>228</v>
      </c>
      <c r="D190" s="316">
        <v>0</v>
      </c>
      <c r="E190" s="316">
        <v>0</v>
      </c>
      <c r="F190" s="316">
        <v>0</v>
      </c>
      <c r="G190" s="528">
        <f t="array" ref="G190">SUM(IF(CertFund&amp;CertProg&amp;CertObj=RIGHT(LEFT($A$2,7),2)&amp;LEFT(A189,4)&amp;B190,CertSalary))</f>
        <v>0</v>
      </c>
      <c r="H190" s="527">
        <v>0</v>
      </c>
      <c r="I190" s="566">
        <f>SUM(G190+H190)</f>
        <v>0</v>
      </c>
    </row>
    <row r="191" spans="1:9" s="434" customFormat="1" x14ac:dyDescent="0.15">
      <c r="B191" s="523" t="s">
        <v>1577</v>
      </c>
      <c r="C191" s="524" t="s">
        <v>510</v>
      </c>
      <c r="D191" s="316">
        <v>0</v>
      </c>
      <c r="E191" s="316">
        <v>0</v>
      </c>
      <c r="F191" s="316">
        <v>0</v>
      </c>
      <c r="G191" s="316">
        <v>0</v>
      </c>
      <c r="H191" s="527">
        <v>0</v>
      </c>
      <c r="I191" s="566">
        <f>SUM(G191+H191)</f>
        <v>0</v>
      </c>
    </row>
    <row r="192" spans="1:9" s="434" customFormat="1" x14ac:dyDescent="0.15">
      <c r="A192" s="524"/>
      <c r="B192" s="523" t="s">
        <v>1578</v>
      </c>
      <c r="C192" s="524" t="s">
        <v>936</v>
      </c>
      <c r="D192" s="316">
        <v>0</v>
      </c>
      <c r="E192" s="316">
        <v>0</v>
      </c>
      <c r="F192" s="316">
        <v>0</v>
      </c>
      <c r="G192" s="529">
        <f t="array" ref="G192">SUM(IF(CertFund&amp;CertProg&amp;CertObj=RIGHT(LEFT($A$2,7),2)&amp;LEFT(A189,4)&amp;B190,CertBen))</f>
        <v>0</v>
      </c>
      <c r="H192" s="527">
        <v>0</v>
      </c>
      <c r="I192" s="566">
        <f>SUM(G192+H192)</f>
        <v>0</v>
      </c>
    </row>
    <row r="193" spans="1:9" s="434" customFormat="1" x14ac:dyDescent="0.15">
      <c r="A193" s="524"/>
      <c r="B193" s="523" t="s">
        <v>1578</v>
      </c>
      <c r="C193" s="524" t="s">
        <v>511</v>
      </c>
      <c r="D193" s="316">
        <v>0</v>
      </c>
      <c r="E193" s="316">
        <v>0</v>
      </c>
      <c r="F193" s="316">
        <v>0</v>
      </c>
      <c r="G193" s="316">
        <v>0</v>
      </c>
      <c r="H193" s="527">
        <v>0</v>
      </c>
      <c r="I193" s="566">
        <f>SUM(G193+H193)</f>
        <v>0</v>
      </c>
    </row>
    <row r="194" spans="1:9" ht="10.5" customHeight="1" x14ac:dyDescent="0.15">
      <c r="A194" s="512"/>
      <c r="B194" s="521" t="s">
        <v>1579</v>
      </c>
      <c r="C194" s="138" t="s">
        <v>118</v>
      </c>
      <c r="D194" s="147">
        <v>0</v>
      </c>
      <c r="E194" s="147">
        <v>0</v>
      </c>
      <c r="F194" s="147">
        <v>0</v>
      </c>
      <c r="G194" s="147">
        <v>0</v>
      </c>
      <c r="H194" s="291">
        <v>0</v>
      </c>
      <c r="I194" s="579">
        <f t="shared" ref="I194:I217" si="5">SUM(G194+H194)</f>
        <v>0</v>
      </c>
    </row>
    <row r="195" spans="1:9" ht="10.5" customHeight="1" x14ac:dyDescent="0.15">
      <c r="A195" s="512"/>
      <c r="B195" s="521" t="s">
        <v>1580</v>
      </c>
      <c r="C195" s="138" t="s">
        <v>119</v>
      </c>
      <c r="D195" s="147">
        <v>0</v>
      </c>
      <c r="E195" s="147">
        <v>0</v>
      </c>
      <c r="F195" s="147">
        <v>0</v>
      </c>
      <c r="G195" s="147">
        <v>0</v>
      </c>
      <c r="H195" s="291">
        <v>0</v>
      </c>
      <c r="I195" s="579">
        <f t="shared" si="5"/>
        <v>0</v>
      </c>
    </row>
    <row r="196" spans="1:9" ht="10.5" customHeight="1" x14ac:dyDescent="0.15">
      <c r="A196" s="512"/>
      <c r="B196" s="521" t="s">
        <v>120</v>
      </c>
      <c r="C196" s="138" t="s">
        <v>121</v>
      </c>
      <c r="D196" s="147">
        <v>0</v>
      </c>
      <c r="E196" s="147">
        <v>0</v>
      </c>
      <c r="F196" s="147">
        <v>0</v>
      </c>
      <c r="G196" s="147">
        <v>0</v>
      </c>
      <c r="H196" s="291">
        <v>0</v>
      </c>
      <c r="I196" s="579">
        <f t="shared" si="5"/>
        <v>0</v>
      </c>
    </row>
    <row r="197" spans="1:9" ht="10.5" customHeight="1" x14ac:dyDescent="0.15">
      <c r="A197" s="512"/>
      <c r="B197" s="521" t="s">
        <v>122</v>
      </c>
      <c r="C197" s="138" t="s">
        <v>123</v>
      </c>
      <c r="D197" s="147">
        <v>0</v>
      </c>
      <c r="E197" s="147">
        <v>0</v>
      </c>
      <c r="F197" s="147">
        <v>0</v>
      </c>
      <c r="G197" s="147">
        <v>0</v>
      </c>
      <c r="H197" s="291">
        <v>0</v>
      </c>
      <c r="I197" s="579">
        <f t="shared" si="5"/>
        <v>0</v>
      </c>
    </row>
    <row r="198" spans="1:9" ht="10.5" customHeight="1" x14ac:dyDescent="0.15">
      <c r="A198" s="512"/>
      <c r="B198" s="521" t="s">
        <v>1581</v>
      </c>
      <c r="C198" s="138" t="s">
        <v>124</v>
      </c>
      <c r="D198" s="147">
        <v>0</v>
      </c>
      <c r="E198" s="147">
        <v>0</v>
      </c>
      <c r="F198" s="147">
        <v>0</v>
      </c>
      <c r="G198" s="147">
        <v>0</v>
      </c>
      <c r="H198" s="291">
        <v>0</v>
      </c>
      <c r="I198" s="579">
        <f t="shared" si="5"/>
        <v>0</v>
      </c>
    </row>
    <row r="199" spans="1:9" ht="10.5" customHeight="1" x14ac:dyDescent="0.15">
      <c r="A199" s="512"/>
      <c r="B199" s="521" t="s">
        <v>1624</v>
      </c>
      <c r="C199" s="138" t="s">
        <v>840</v>
      </c>
      <c r="D199" s="147">
        <v>0</v>
      </c>
      <c r="E199" s="147">
        <v>0</v>
      </c>
      <c r="F199" s="147">
        <v>0</v>
      </c>
      <c r="G199" s="147">
        <v>0</v>
      </c>
      <c r="H199" s="291">
        <v>0</v>
      </c>
      <c r="I199" s="579">
        <f t="shared" si="5"/>
        <v>0</v>
      </c>
    </row>
    <row r="200" spans="1:9" ht="10.5" customHeight="1" x14ac:dyDescent="0.15">
      <c r="A200" s="512"/>
      <c r="B200" s="521" t="s">
        <v>1625</v>
      </c>
      <c r="C200" s="138" t="s">
        <v>842</v>
      </c>
      <c r="D200" s="147">
        <v>0</v>
      </c>
      <c r="E200" s="147">
        <v>0</v>
      </c>
      <c r="F200" s="147">
        <v>0</v>
      </c>
      <c r="G200" s="147">
        <v>0</v>
      </c>
      <c r="H200" s="291">
        <v>0</v>
      </c>
      <c r="I200" s="579">
        <f t="shared" si="5"/>
        <v>0</v>
      </c>
    </row>
    <row r="201" spans="1:9" ht="10.5" customHeight="1" x14ac:dyDescent="0.15">
      <c r="A201" s="512"/>
      <c r="B201" s="521" t="s">
        <v>843</v>
      </c>
      <c r="C201" s="138" t="s">
        <v>848</v>
      </c>
      <c r="D201" s="147">
        <v>0</v>
      </c>
      <c r="E201" s="147">
        <v>0</v>
      </c>
      <c r="F201" s="147">
        <v>0</v>
      </c>
      <c r="G201" s="147">
        <v>0</v>
      </c>
      <c r="H201" s="291">
        <v>0</v>
      </c>
      <c r="I201" s="579">
        <f t="shared" si="5"/>
        <v>0</v>
      </c>
    </row>
    <row r="202" spans="1:9" ht="10.5" customHeight="1" x14ac:dyDescent="0.15">
      <c r="A202" s="512"/>
      <c r="B202" s="521" t="s">
        <v>844</v>
      </c>
      <c r="C202" s="138" t="s">
        <v>186</v>
      </c>
      <c r="D202" s="147">
        <v>0</v>
      </c>
      <c r="E202" s="147">
        <v>0</v>
      </c>
      <c r="F202" s="147">
        <v>0</v>
      </c>
      <c r="G202" s="147">
        <v>0</v>
      </c>
      <c r="H202" s="291">
        <v>0</v>
      </c>
      <c r="I202" s="579">
        <f t="shared" si="5"/>
        <v>0</v>
      </c>
    </row>
    <row r="203" spans="1:9" ht="10.5" customHeight="1" x14ac:dyDescent="0.15">
      <c r="A203" s="512"/>
      <c r="B203" s="521" t="s">
        <v>845</v>
      </c>
      <c r="C203" s="138" t="s">
        <v>154</v>
      </c>
      <c r="D203" s="147">
        <v>0</v>
      </c>
      <c r="E203" s="147">
        <v>0</v>
      </c>
      <c r="F203" s="147">
        <v>0</v>
      </c>
      <c r="G203" s="147">
        <v>0</v>
      </c>
      <c r="H203" s="291">
        <v>0</v>
      </c>
      <c r="I203" s="579">
        <f t="shared" si="5"/>
        <v>0</v>
      </c>
    </row>
    <row r="204" spans="1:9" ht="10.5" customHeight="1" x14ac:dyDescent="0.15">
      <c r="A204" s="512"/>
      <c r="B204" s="521" t="s">
        <v>846</v>
      </c>
      <c r="C204" s="138" t="s">
        <v>155</v>
      </c>
      <c r="D204" s="147">
        <v>0</v>
      </c>
      <c r="E204" s="147">
        <v>0</v>
      </c>
      <c r="F204" s="147">
        <v>0</v>
      </c>
      <c r="G204" s="147">
        <v>0</v>
      </c>
      <c r="H204" s="291">
        <v>0</v>
      </c>
      <c r="I204" s="579">
        <f t="shared" si="5"/>
        <v>0</v>
      </c>
    </row>
    <row r="205" spans="1:9" ht="10.5" customHeight="1" x14ac:dyDescent="0.15">
      <c r="A205" s="512"/>
      <c r="B205" s="521" t="s">
        <v>332</v>
      </c>
      <c r="C205" s="138" t="s">
        <v>463</v>
      </c>
      <c r="D205" s="147">
        <v>0</v>
      </c>
      <c r="E205" s="147">
        <v>0</v>
      </c>
      <c r="F205" s="147">
        <v>0</v>
      </c>
      <c r="G205" s="147">
        <v>0</v>
      </c>
      <c r="H205" s="291">
        <v>0</v>
      </c>
      <c r="I205" s="579">
        <f t="shared" si="5"/>
        <v>0</v>
      </c>
    </row>
    <row r="206" spans="1:9" ht="10.5" customHeight="1" x14ac:dyDescent="0.15">
      <c r="A206" s="512"/>
      <c r="B206" s="521" t="s">
        <v>1582</v>
      </c>
      <c r="C206" s="138" t="s">
        <v>156</v>
      </c>
      <c r="D206" s="147">
        <v>0</v>
      </c>
      <c r="E206" s="147">
        <v>0</v>
      </c>
      <c r="F206" s="147">
        <v>0</v>
      </c>
      <c r="G206" s="147">
        <v>0</v>
      </c>
      <c r="H206" s="291">
        <v>0</v>
      </c>
      <c r="I206" s="579">
        <f t="shared" si="5"/>
        <v>0</v>
      </c>
    </row>
    <row r="207" spans="1:9" ht="10.5" customHeight="1" x14ac:dyDescent="0.15">
      <c r="A207" s="512"/>
      <c r="B207" s="521" t="s">
        <v>847</v>
      </c>
      <c r="C207" s="138" t="s">
        <v>157</v>
      </c>
      <c r="D207" s="147">
        <v>0</v>
      </c>
      <c r="E207" s="147">
        <v>0</v>
      </c>
      <c r="F207" s="147">
        <v>0</v>
      </c>
      <c r="G207" s="147">
        <v>0</v>
      </c>
      <c r="H207" s="291">
        <v>0</v>
      </c>
      <c r="I207" s="579">
        <f t="shared" si="5"/>
        <v>0</v>
      </c>
    </row>
    <row r="208" spans="1:9" ht="10.5" customHeight="1" x14ac:dyDescent="0.15">
      <c r="A208" s="512"/>
      <c r="B208" s="521" t="s">
        <v>1583</v>
      </c>
      <c r="C208" s="138" t="s">
        <v>160</v>
      </c>
      <c r="D208" s="147">
        <v>0</v>
      </c>
      <c r="E208" s="147">
        <v>0</v>
      </c>
      <c r="F208" s="147">
        <v>0</v>
      </c>
      <c r="G208" s="147">
        <v>0</v>
      </c>
      <c r="H208" s="291">
        <v>0</v>
      </c>
      <c r="I208" s="579">
        <f t="shared" si="5"/>
        <v>0</v>
      </c>
    </row>
    <row r="209" spans="1:10" ht="10.5" customHeight="1" x14ac:dyDescent="0.15">
      <c r="A209" s="512"/>
      <c r="B209" s="521" t="s">
        <v>634</v>
      </c>
      <c r="C209" s="138" t="s">
        <v>165</v>
      </c>
      <c r="D209" s="147">
        <v>0</v>
      </c>
      <c r="E209" s="147">
        <v>0</v>
      </c>
      <c r="F209" s="147">
        <v>0</v>
      </c>
      <c r="G209" s="147">
        <v>0</v>
      </c>
      <c r="H209" s="291">
        <v>0</v>
      </c>
      <c r="I209" s="579">
        <f t="shared" si="5"/>
        <v>0</v>
      </c>
    </row>
    <row r="210" spans="1:10" ht="10.5" customHeight="1" x14ac:dyDescent="0.15">
      <c r="A210" s="512"/>
      <c r="B210" s="521" t="s">
        <v>630</v>
      </c>
      <c r="C210" s="138" t="s">
        <v>172</v>
      </c>
      <c r="D210" s="147">
        <v>0</v>
      </c>
      <c r="E210" s="147">
        <v>0</v>
      </c>
      <c r="F210" s="147">
        <v>0</v>
      </c>
      <c r="G210" s="147">
        <v>0</v>
      </c>
      <c r="H210" s="291">
        <v>0</v>
      </c>
      <c r="I210" s="579">
        <f t="shared" si="5"/>
        <v>0</v>
      </c>
    </row>
    <row r="211" spans="1:10" ht="10.5" customHeight="1" x14ac:dyDescent="0.15">
      <c r="A211" s="512"/>
      <c r="B211" s="650" t="s">
        <v>631</v>
      </c>
      <c r="C211" s="651" t="s">
        <v>173</v>
      </c>
      <c r="D211" s="147">
        <v>0</v>
      </c>
      <c r="E211" s="147">
        <v>0</v>
      </c>
      <c r="F211" s="147">
        <v>0</v>
      </c>
      <c r="G211" s="147">
        <v>0</v>
      </c>
      <c r="H211" s="291">
        <v>0</v>
      </c>
      <c r="I211" s="579">
        <f t="shared" si="5"/>
        <v>0</v>
      </c>
    </row>
    <row r="212" spans="1:10" ht="10.5" customHeight="1" x14ac:dyDescent="0.15">
      <c r="A212" s="512"/>
      <c r="B212" s="521" t="s">
        <v>1584</v>
      </c>
      <c r="C212" s="138" t="s">
        <v>178</v>
      </c>
      <c r="D212" s="147">
        <v>0</v>
      </c>
      <c r="E212" s="147">
        <v>0</v>
      </c>
      <c r="F212" s="147">
        <v>0</v>
      </c>
      <c r="G212" s="147">
        <v>0</v>
      </c>
      <c r="H212" s="291">
        <v>0</v>
      </c>
      <c r="I212" s="579">
        <f t="shared" si="5"/>
        <v>0</v>
      </c>
    </row>
    <row r="213" spans="1:10" ht="10.5" customHeight="1" x14ac:dyDescent="0.15">
      <c r="A213" s="512"/>
      <c r="B213" s="521" t="s">
        <v>174</v>
      </c>
      <c r="C213" s="138" t="s">
        <v>179</v>
      </c>
      <c r="D213" s="147">
        <v>0</v>
      </c>
      <c r="E213" s="147">
        <v>0</v>
      </c>
      <c r="F213" s="147">
        <v>0</v>
      </c>
      <c r="G213" s="147">
        <v>0</v>
      </c>
      <c r="H213" s="291">
        <v>0</v>
      </c>
      <c r="I213" s="579">
        <f t="shared" si="5"/>
        <v>0</v>
      </c>
    </row>
    <row r="214" spans="1:10" ht="10.5" customHeight="1" x14ac:dyDescent="0.15">
      <c r="A214" s="512"/>
      <c r="B214" s="521" t="s">
        <v>175</v>
      </c>
      <c r="C214" s="138" t="s">
        <v>180</v>
      </c>
      <c r="D214" s="147">
        <v>0</v>
      </c>
      <c r="E214" s="147">
        <v>0</v>
      </c>
      <c r="F214" s="147">
        <v>0</v>
      </c>
      <c r="G214" s="147">
        <v>0</v>
      </c>
      <c r="H214" s="291">
        <v>0</v>
      </c>
      <c r="I214" s="579">
        <f t="shared" si="5"/>
        <v>0</v>
      </c>
    </row>
    <row r="215" spans="1:10" ht="10.5" customHeight="1" x14ac:dyDescent="0.15">
      <c r="A215" s="512"/>
      <c r="B215" s="521" t="s">
        <v>176</v>
      </c>
      <c r="C215" s="138" t="s">
        <v>181</v>
      </c>
      <c r="D215" s="147">
        <v>0</v>
      </c>
      <c r="E215" s="147">
        <v>0</v>
      </c>
      <c r="F215" s="147">
        <v>0</v>
      </c>
      <c r="G215" s="147">
        <v>0</v>
      </c>
      <c r="H215" s="291">
        <v>0</v>
      </c>
      <c r="I215" s="579">
        <f t="shared" si="5"/>
        <v>0</v>
      </c>
    </row>
    <row r="216" spans="1:10" ht="10.5" customHeight="1" x14ac:dyDescent="0.15">
      <c r="A216" s="512"/>
      <c r="B216" s="521" t="s">
        <v>177</v>
      </c>
      <c r="C216" s="138" t="s">
        <v>182</v>
      </c>
      <c r="D216" s="147">
        <v>0</v>
      </c>
      <c r="E216" s="147">
        <v>0</v>
      </c>
      <c r="F216" s="147">
        <v>0</v>
      </c>
      <c r="G216" s="147">
        <v>0</v>
      </c>
      <c r="H216" s="291">
        <v>0</v>
      </c>
      <c r="I216" s="579">
        <f t="shared" si="5"/>
        <v>0</v>
      </c>
    </row>
    <row r="217" spans="1:10" ht="10.5" customHeight="1" thickBot="1" x14ac:dyDescent="0.2">
      <c r="A217" s="512"/>
      <c r="B217" s="521" t="s">
        <v>632</v>
      </c>
      <c r="C217" s="138" t="s">
        <v>183</v>
      </c>
      <c r="D217" s="144">
        <v>0</v>
      </c>
      <c r="E217" s="144">
        <v>0</v>
      </c>
      <c r="F217" s="144">
        <v>0</v>
      </c>
      <c r="G217" s="144">
        <v>0</v>
      </c>
      <c r="H217" s="291">
        <v>0</v>
      </c>
      <c r="I217" s="579">
        <f t="shared" si="5"/>
        <v>0</v>
      </c>
    </row>
    <row r="218" spans="1:10" ht="10.5" customHeight="1" thickTop="1" thickBot="1" x14ac:dyDescent="0.2">
      <c r="A218" s="512"/>
      <c r="B218" s="521"/>
      <c r="C218" s="138" t="s">
        <v>624</v>
      </c>
      <c r="D218" s="169">
        <f>SUM(D190:D217)</f>
        <v>0</v>
      </c>
      <c r="E218" s="169">
        <f>SUM(E190:E217)</f>
        <v>0</v>
      </c>
      <c r="F218" s="169">
        <f>SUM(F190:F217)</f>
        <v>0</v>
      </c>
      <c r="G218" s="169">
        <f>SUM(G190:G217)</f>
        <v>0</v>
      </c>
      <c r="H218" s="169">
        <f>SUM(H190:H217)</f>
        <v>0</v>
      </c>
      <c r="I218" s="169">
        <f>G218+H218</f>
        <v>0</v>
      </c>
    </row>
    <row r="219" spans="1:10" ht="10.5" customHeight="1" thickTop="1" x14ac:dyDescent="0.15">
      <c r="A219" s="512"/>
      <c r="B219" s="521"/>
      <c r="C219" s="138"/>
      <c r="D219" s="14"/>
      <c r="E219" s="14"/>
      <c r="F219" s="14"/>
      <c r="G219" s="14"/>
      <c r="H219" s="14"/>
      <c r="I219" s="563"/>
    </row>
    <row r="220" spans="1:10" ht="10.5" customHeight="1" x14ac:dyDescent="0.15">
      <c r="A220" s="512" t="s">
        <v>656</v>
      </c>
      <c r="C220" s="138"/>
      <c r="D220" s="14"/>
      <c r="E220" s="14"/>
      <c r="F220" s="14"/>
      <c r="G220" s="14"/>
      <c r="H220" s="14"/>
      <c r="I220" s="563"/>
    </row>
    <row r="221" spans="1:10" s="434" customFormat="1" x14ac:dyDescent="0.15">
      <c r="B221" s="523" t="s">
        <v>1577</v>
      </c>
      <c r="C221" s="524" t="s">
        <v>228</v>
      </c>
      <c r="D221" s="316">
        <v>0</v>
      </c>
      <c r="E221" s="316">
        <v>0</v>
      </c>
      <c r="F221" s="316">
        <v>0</v>
      </c>
      <c r="G221" s="528">
        <f t="array" ref="G221">SUM(IF(CertFund&amp;CertProg&amp;CertObj=RIGHT(LEFT($A$2,7),2)&amp;LEFT(A220,4)&amp;B221,CertSalary))</f>
        <v>0</v>
      </c>
      <c r="H221" s="527">
        <v>0</v>
      </c>
      <c r="I221" s="566">
        <f>SUM(G221+H221)</f>
        <v>0</v>
      </c>
    </row>
    <row r="222" spans="1:10" s="434" customFormat="1" x14ac:dyDescent="0.15">
      <c r="B222" s="523" t="s">
        <v>1577</v>
      </c>
      <c r="C222" s="524" t="s">
        <v>510</v>
      </c>
      <c r="D222" s="316">
        <v>0</v>
      </c>
      <c r="E222" s="316">
        <v>0</v>
      </c>
      <c r="F222" s="316">
        <v>0</v>
      </c>
      <c r="G222" s="316">
        <v>0</v>
      </c>
      <c r="H222" s="527">
        <v>0</v>
      </c>
      <c r="I222" s="566">
        <f>SUM(G222+H222)</f>
        <v>0</v>
      </c>
    </row>
    <row r="223" spans="1:10" s="434" customFormat="1" x14ac:dyDescent="0.15">
      <c r="A223" s="524"/>
      <c r="B223" s="523" t="s">
        <v>1578</v>
      </c>
      <c r="C223" s="524" t="s">
        <v>936</v>
      </c>
      <c r="D223" s="316">
        <v>0</v>
      </c>
      <c r="E223" s="316">
        <v>0</v>
      </c>
      <c r="F223" s="316">
        <v>0</v>
      </c>
      <c r="G223" s="529">
        <f t="array" ref="G223">SUM(IF(CertFund&amp;CertProg&amp;CertObj=RIGHT(LEFT($A$2,7),2)&amp;LEFT(A220,4)&amp;B221,CertBen))</f>
        <v>0</v>
      </c>
      <c r="H223" s="527">
        <v>0</v>
      </c>
      <c r="I223" s="566">
        <f>SUM(G223+H223)</f>
        <v>0</v>
      </c>
    </row>
    <row r="224" spans="1:10" x14ac:dyDescent="0.15">
      <c r="A224" s="138"/>
      <c r="B224" s="521" t="s">
        <v>1578</v>
      </c>
      <c r="C224" s="138" t="s">
        <v>511</v>
      </c>
      <c r="D224" s="147">
        <v>0</v>
      </c>
      <c r="E224" s="147">
        <v>0</v>
      </c>
      <c r="F224" s="147">
        <v>0</v>
      </c>
      <c r="G224" s="147">
        <v>0</v>
      </c>
      <c r="H224" s="150">
        <v>0</v>
      </c>
      <c r="I224" s="567">
        <f>SUM(G224+H224)</f>
        <v>0</v>
      </c>
      <c r="J224" s="434"/>
    </row>
    <row r="225" spans="1:9" ht="10.5" customHeight="1" x14ac:dyDescent="0.15">
      <c r="A225" s="512"/>
      <c r="B225" s="521" t="s">
        <v>1579</v>
      </c>
      <c r="C225" s="138" t="s">
        <v>118</v>
      </c>
      <c r="D225" s="147">
        <v>0</v>
      </c>
      <c r="E225" s="147">
        <v>0</v>
      </c>
      <c r="F225" s="147">
        <v>0</v>
      </c>
      <c r="G225" s="291">
        <v>0</v>
      </c>
      <c r="H225" s="291">
        <v>0</v>
      </c>
      <c r="I225" s="579">
        <f t="shared" ref="I225:I248" si="6">SUM(G225+H225)</f>
        <v>0</v>
      </c>
    </row>
    <row r="226" spans="1:9" ht="10.5" customHeight="1" x14ac:dyDescent="0.15">
      <c r="A226" s="512"/>
      <c r="B226" s="521" t="s">
        <v>1580</v>
      </c>
      <c r="C226" s="138" t="s">
        <v>119</v>
      </c>
      <c r="D226" s="147">
        <v>0</v>
      </c>
      <c r="E226" s="147">
        <v>0</v>
      </c>
      <c r="F226" s="147">
        <v>0</v>
      </c>
      <c r="G226" s="291">
        <v>0</v>
      </c>
      <c r="H226" s="291">
        <v>0</v>
      </c>
      <c r="I226" s="579">
        <f t="shared" si="6"/>
        <v>0</v>
      </c>
    </row>
    <row r="227" spans="1:9" ht="10.5" customHeight="1" x14ac:dyDescent="0.15">
      <c r="A227" s="512"/>
      <c r="B227" s="521" t="s">
        <v>120</v>
      </c>
      <c r="C227" s="138" t="s">
        <v>121</v>
      </c>
      <c r="D227" s="147">
        <v>0</v>
      </c>
      <c r="E227" s="147">
        <v>0</v>
      </c>
      <c r="F227" s="147">
        <v>0</v>
      </c>
      <c r="G227" s="291">
        <v>0</v>
      </c>
      <c r="H227" s="291">
        <v>0</v>
      </c>
      <c r="I227" s="579">
        <f t="shared" si="6"/>
        <v>0</v>
      </c>
    </row>
    <row r="228" spans="1:9" ht="10.5" customHeight="1" x14ac:dyDescent="0.15">
      <c r="A228" s="512"/>
      <c r="B228" s="521" t="s">
        <v>122</v>
      </c>
      <c r="C228" s="138" t="s">
        <v>123</v>
      </c>
      <c r="D228" s="147">
        <v>0</v>
      </c>
      <c r="E228" s="147">
        <v>0</v>
      </c>
      <c r="F228" s="147">
        <v>0</v>
      </c>
      <c r="G228" s="147">
        <v>0</v>
      </c>
      <c r="H228" s="291">
        <v>0</v>
      </c>
      <c r="I228" s="579">
        <f t="shared" si="6"/>
        <v>0</v>
      </c>
    </row>
    <row r="229" spans="1:9" ht="10.5" customHeight="1" x14ac:dyDescent="0.15">
      <c r="A229" s="512"/>
      <c r="B229" s="521" t="s">
        <v>1581</v>
      </c>
      <c r="C229" s="138" t="s">
        <v>124</v>
      </c>
      <c r="D229" s="147">
        <v>0</v>
      </c>
      <c r="E229" s="147">
        <v>0</v>
      </c>
      <c r="F229" s="147">
        <v>0</v>
      </c>
      <c r="G229" s="147">
        <v>0</v>
      </c>
      <c r="H229" s="291">
        <v>0</v>
      </c>
      <c r="I229" s="579">
        <f t="shared" si="6"/>
        <v>0</v>
      </c>
    </row>
    <row r="230" spans="1:9" ht="10.5" customHeight="1" x14ac:dyDescent="0.15">
      <c r="A230" s="512"/>
      <c r="B230" s="521" t="s">
        <v>132</v>
      </c>
      <c r="C230" s="138" t="s">
        <v>1617</v>
      </c>
      <c r="D230" s="147">
        <v>0</v>
      </c>
      <c r="E230" s="147">
        <v>0</v>
      </c>
      <c r="F230" s="147">
        <v>0</v>
      </c>
      <c r="G230" s="147">
        <v>0</v>
      </c>
      <c r="H230" s="291">
        <v>0</v>
      </c>
      <c r="I230" s="579">
        <f t="shared" si="6"/>
        <v>0</v>
      </c>
    </row>
    <row r="231" spans="1:9" ht="10.5" customHeight="1" x14ac:dyDescent="0.15">
      <c r="A231" s="512"/>
      <c r="B231" s="521" t="s">
        <v>675</v>
      </c>
      <c r="C231" s="138" t="s">
        <v>698</v>
      </c>
      <c r="D231" s="147">
        <v>0</v>
      </c>
      <c r="E231" s="147">
        <v>0</v>
      </c>
      <c r="F231" s="147">
        <v>0</v>
      </c>
      <c r="G231" s="147">
        <v>0</v>
      </c>
      <c r="H231" s="291">
        <v>0</v>
      </c>
      <c r="I231" s="579">
        <f t="shared" si="6"/>
        <v>0</v>
      </c>
    </row>
    <row r="232" spans="1:9" ht="10.5" customHeight="1" x14ac:dyDescent="0.15">
      <c r="A232" s="512"/>
      <c r="B232" s="521" t="s">
        <v>1624</v>
      </c>
      <c r="C232" s="138" t="s">
        <v>840</v>
      </c>
      <c r="D232" s="147">
        <v>0</v>
      </c>
      <c r="E232" s="147">
        <v>0</v>
      </c>
      <c r="F232" s="147">
        <v>0</v>
      </c>
      <c r="G232" s="147">
        <v>0</v>
      </c>
      <c r="H232" s="291">
        <v>0</v>
      </c>
      <c r="I232" s="579">
        <f t="shared" si="6"/>
        <v>0</v>
      </c>
    </row>
    <row r="233" spans="1:9" ht="10.5" customHeight="1" x14ac:dyDescent="0.15">
      <c r="A233" s="512"/>
      <c r="B233" s="521" t="s">
        <v>1625</v>
      </c>
      <c r="C233" s="138" t="s">
        <v>842</v>
      </c>
      <c r="D233" s="147">
        <v>0</v>
      </c>
      <c r="E233" s="147">
        <v>0</v>
      </c>
      <c r="F233" s="147">
        <v>0</v>
      </c>
      <c r="G233" s="147">
        <v>0</v>
      </c>
      <c r="H233" s="291">
        <v>0</v>
      </c>
      <c r="I233" s="579">
        <f t="shared" si="6"/>
        <v>0</v>
      </c>
    </row>
    <row r="234" spans="1:9" ht="10.5" customHeight="1" x14ac:dyDescent="0.15">
      <c r="A234" s="512"/>
      <c r="B234" s="521" t="s">
        <v>843</v>
      </c>
      <c r="C234" s="138" t="s">
        <v>848</v>
      </c>
      <c r="D234" s="147">
        <v>0</v>
      </c>
      <c r="E234" s="147">
        <v>0</v>
      </c>
      <c r="F234" s="147">
        <v>0</v>
      </c>
      <c r="G234" s="147">
        <v>0</v>
      </c>
      <c r="H234" s="291">
        <v>0</v>
      </c>
      <c r="I234" s="579">
        <f t="shared" si="6"/>
        <v>0</v>
      </c>
    </row>
    <row r="235" spans="1:9" ht="10.5" customHeight="1" x14ac:dyDescent="0.15">
      <c r="A235" s="512"/>
      <c r="B235" s="521" t="s">
        <v>844</v>
      </c>
      <c r="C235" s="138" t="s">
        <v>186</v>
      </c>
      <c r="D235" s="147">
        <v>0</v>
      </c>
      <c r="E235" s="147">
        <v>0</v>
      </c>
      <c r="F235" s="147">
        <v>0</v>
      </c>
      <c r="G235" s="147">
        <v>0</v>
      </c>
      <c r="H235" s="291">
        <v>0</v>
      </c>
      <c r="I235" s="579">
        <f t="shared" si="6"/>
        <v>0</v>
      </c>
    </row>
    <row r="236" spans="1:9" ht="10.5" customHeight="1" x14ac:dyDescent="0.15">
      <c r="A236" s="512"/>
      <c r="B236" s="521" t="s">
        <v>845</v>
      </c>
      <c r="C236" s="138" t="s">
        <v>154</v>
      </c>
      <c r="D236" s="147">
        <v>0</v>
      </c>
      <c r="E236" s="147">
        <v>0</v>
      </c>
      <c r="F236" s="147">
        <v>0</v>
      </c>
      <c r="G236" s="147">
        <v>0</v>
      </c>
      <c r="H236" s="291">
        <v>0</v>
      </c>
      <c r="I236" s="579">
        <f t="shared" si="6"/>
        <v>0</v>
      </c>
    </row>
    <row r="237" spans="1:9" ht="10.5" customHeight="1" x14ac:dyDescent="0.15">
      <c r="A237" s="512"/>
      <c r="B237" s="521" t="s">
        <v>846</v>
      </c>
      <c r="C237" s="138" t="s">
        <v>155</v>
      </c>
      <c r="D237" s="147">
        <v>0</v>
      </c>
      <c r="E237" s="147">
        <v>0</v>
      </c>
      <c r="F237" s="147">
        <v>0</v>
      </c>
      <c r="G237" s="147">
        <v>0</v>
      </c>
      <c r="H237" s="291">
        <v>0</v>
      </c>
      <c r="I237" s="579">
        <f t="shared" si="6"/>
        <v>0</v>
      </c>
    </row>
    <row r="238" spans="1:9" ht="10.5" customHeight="1" x14ac:dyDescent="0.15">
      <c r="A238" s="512"/>
      <c r="B238" s="521" t="s">
        <v>1582</v>
      </c>
      <c r="C238" s="138" t="s">
        <v>156</v>
      </c>
      <c r="D238" s="147">
        <v>0</v>
      </c>
      <c r="E238" s="147">
        <v>0</v>
      </c>
      <c r="F238" s="147">
        <v>0</v>
      </c>
      <c r="G238" s="147">
        <v>0</v>
      </c>
      <c r="H238" s="291">
        <v>0</v>
      </c>
      <c r="I238" s="579">
        <f t="shared" si="6"/>
        <v>0</v>
      </c>
    </row>
    <row r="239" spans="1:9" ht="10.5" customHeight="1" x14ac:dyDescent="0.15">
      <c r="A239" s="512"/>
      <c r="B239" s="521" t="s">
        <v>847</v>
      </c>
      <c r="C239" s="138" t="s">
        <v>157</v>
      </c>
      <c r="D239" s="147">
        <v>0</v>
      </c>
      <c r="E239" s="147">
        <v>0</v>
      </c>
      <c r="F239" s="147">
        <v>0</v>
      </c>
      <c r="G239" s="147">
        <v>0</v>
      </c>
      <c r="H239" s="291">
        <v>0</v>
      </c>
      <c r="I239" s="579">
        <f t="shared" si="6"/>
        <v>0</v>
      </c>
    </row>
    <row r="240" spans="1:9" ht="10.5" customHeight="1" x14ac:dyDescent="0.15">
      <c r="A240" s="512"/>
      <c r="B240" s="521" t="s">
        <v>1583</v>
      </c>
      <c r="C240" s="138" t="s">
        <v>160</v>
      </c>
      <c r="D240" s="147">
        <v>0</v>
      </c>
      <c r="E240" s="147">
        <v>0</v>
      </c>
      <c r="F240" s="147">
        <v>0</v>
      </c>
      <c r="G240" s="147">
        <v>0</v>
      </c>
      <c r="H240" s="291">
        <v>0</v>
      </c>
      <c r="I240" s="579">
        <f t="shared" si="6"/>
        <v>0</v>
      </c>
    </row>
    <row r="241" spans="1:9" ht="10.5" customHeight="1" x14ac:dyDescent="0.15">
      <c r="A241" s="512"/>
      <c r="B241" s="521" t="s">
        <v>634</v>
      </c>
      <c r="C241" s="138" t="s">
        <v>165</v>
      </c>
      <c r="D241" s="147">
        <v>0</v>
      </c>
      <c r="E241" s="147">
        <v>0</v>
      </c>
      <c r="F241" s="147">
        <v>0</v>
      </c>
      <c r="G241" s="147">
        <v>0</v>
      </c>
      <c r="H241" s="291">
        <v>0</v>
      </c>
      <c r="I241" s="579">
        <f t="shared" si="6"/>
        <v>0</v>
      </c>
    </row>
    <row r="242" spans="1:9" ht="10.5" customHeight="1" x14ac:dyDescent="0.15">
      <c r="A242" s="512"/>
      <c r="B242" s="521" t="s">
        <v>202</v>
      </c>
      <c r="C242" s="138" t="s">
        <v>171</v>
      </c>
      <c r="D242" s="147">
        <v>0</v>
      </c>
      <c r="E242" s="147">
        <v>0</v>
      </c>
      <c r="F242" s="147">
        <v>0</v>
      </c>
      <c r="G242" s="147">
        <v>0</v>
      </c>
      <c r="H242" s="291">
        <v>0</v>
      </c>
      <c r="I242" s="579">
        <f t="shared" si="6"/>
        <v>0</v>
      </c>
    </row>
    <row r="243" spans="1:9" ht="10.5" customHeight="1" x14ac:dyDescent="0.15">
      <c r="A243" s="512"/>
      <c r="B243" s="521" t="s">
        <v>630</v>
      </c>
      <c r="C243" s="138" t="s">
        <v>172</v>
      </c>
      <c r="D243" s="147">
        <v>0</v>
      </c>
      <c r="E243" s="147">
        <v>0</v>
      </c>
      <c r="F243" s="147">
        <v>0</v>
      </c>
      <c r="G243" s="147">
        <v>0</v>
      </c>
      <c r="H243" s="291">
        <v>0</v>
      </c>
      <c r="I243" s="579">
        <f t="shared" si="6"/>
        <v>0</v>
      </c>
    </row>
    <row r="244" spans="1:9" ht="10.5" customHeight="1" x14ac:dyDescent="0.15">
      <c r="A244" s="512"/>
      <c r="B244" s="650" t="s">
        <v>631</v>
      </c>
      <c r="C244" s="651" t="s">
        <v>173</v>
      </c>
      <c r="D244" s="147">
        <v>0</v>
      </c>
      <c r="E244" s="147">
        <v>0</v>
      </c>
      <c r="F244" s="147">
        <v>0</v>
      </c>
      <c r="G244" s="147">
        <v>0</v>
      </c>
      <c r="H244" s="291">
        <v>0</v>
      </c>
      <c r="I244" s="579">
        <f t="shared" si="6"/>
        <v>0</v>
      </c>
    </row>
    <row r="245" spans="1:9" ht="10.5" customHeight="1" x14ac:dyDescent="0.15">
      <c r="A245" s="512"/>
      <c r="B245" s="521" t="s">
        <v>1584</v>
      </c>
      <c r="C245" s="138" t="s">
        <v>178</v>
      </c>
      <c r="D245" s="147">
        <v>0</v>
      </c>
      <c r="E245" s="147">
        <v>0</v>
      </c>
      <c r="F245" s="147">
        <v>0</v>
      </c>
      <c r="G245" s="147">
        <v>0</v>
      </c>
      <c r="H245" s="291">
        <v>0</v>
      </c>
      <c r="I245" s="579">
        <f t="shared" si="6"/>
        <v>0</v>
      </c>
    </row>
    <row r="246" spans="1:9" ht="10.5" customHeight="1" x14ac:dyDescent="0.15">
      <c r="A246" s="512"/>
      <c r="B246" s="521" t="s">
        <v>174</v>
      </c>
      <c r="C246" s="138" t="s">
        <v>179</v>
      </c>
      <c r="D246" s="147">
        <v>0</v>
      </c>
      <c r="E246" s="147">
        <v>0</v>
      </c>
      <c r="F246" s="147">
        <v>0</v>
      </c>
      <c r="G246" s="147">
        <v>0</v>
      </c>
      <c r="H246" s="291">
        <v>0</v>
      </c>
      <c r="I246" s="579">
        <f t="shared" si="6"/>
        <v>0</v>
      </c>
    </row>
    <row r="247" spans="1:9" ht="10.5" customHeight="1" x14ac:dyDescent="0.15">
      <c r="A247" s="512"/>
      <c r="B247" s="521" t="s">
        <v>175</v>
      </c>
      <c r="C247" s="138" t="s">
        <v>180</v>
      </c>
      <c r="D247" s="147">
        <v>0</v>
      </c>
      <c r="E247" s="147">
        <v>0</v>
      </c>
      <c r="F247" s="147">
        <v>0</v>
      </c>
      <c r="G247" s="147">
        <v>0</v>
      </c>
      <c r="H247" s="291">
        <v>0</v>
      </c>
      <c r="I247" s="579">
        <f t="shared" si="6"/>
        <v>0</v>
      </c>
    </row>
    <row r="248" spans="1:9" ht="10.5" customHeight="1" x14ac:dyDescent="0.15">
      <c r="A248" s="512"/>
      <c r="B248" s="521" t="s">
        <v>176</v>
      </c>
      <c r="C248" s="138" t="s">
        <v>181</v>
      </c>
      <c r="D248" s="147">
        <v>0</v>
      </c>
      <c r="E248" s="147">
        <v>0</v>
      </c>
      <c r="F248" s="147">
        <v>0</v>
      </c>
      <c r="G248" s="147">
        <v>0</v>
      </c>
      <c r="H248" s="291">
        <v>0</v>
      </c>
      <c r="I248" s="579">
        <f t="shared" si="6"/>
        <v>0</v>
      </c>
    </row>
    <row r="249" spans="1:9" ht="10.5" customHeight="1" x14ac:dyDescent="0.15">
      <c r="A249" s="512"/>
      <c r="B249" s="521" t="s">
        <v>177</v>
      </c>
      <c r="C249" s="138" t="s">
        <v>182</v>
      </c>
      <c r="D249" s="147">
        <v>0</v>
      </c>
      <c r="E249" s="147">
        <v>0</v>
      </c>
      <c r="F249" s="147">
        <v>0</v>
      </c>
      <c r="G249" s="147">
        <v>0</v>
      </c>
      <c r="H249" s="291">
        <v>0</v>
      </c>
      <c r="I249" s="579">
        <f>SUM(G249+H249)</f>
        <v>0</v>
      </c>
    </row>
    <row r="250" spans="1:9" ht="10.5" customHeight="1" thickBot="1" x14ac:dyDescent="0.2">
      <c r="A250" s="512"/>
      <c r="B250" s="521" t="s">
        <v>632</v>
      </c>
      <c r="C250" s="138" t="s">
        <v>183</v>
      </c>
      <c r="D250" s="144">
        <v>0</v>
      </c>
      <c r="E250" s="144">
        <v>0</v>
      </c>
      <c r="F250" s="144">
        <v>0</v>
      </c>
      <c r="G250" s="144">
        <v>0</v>
      </c>
      <c r="H250" s="291">
        <v>0</v>
      </c>
      <c r="I250" s="579">
        <f>SUM(G250+H250)</f>
        <v>0</v>
      </c>
    </row>
    <row r="251" spans="1:9" ht="10.5" customHeight="1" thickTop="1" thickBot="1" x14ac:dyDescent="0.2">
      <c r="A251" s="512"/>
      <c r="B251" s="521"/>
      <c r="C251" s="138" t="s">
        <v>657</v>
      </c>
      <c r="D251" s="169">
        <f>SUM(D221:D250)</f>
        <v>0</v>
      </c>
      <c r="E251" s="169">
        <f>SUM(E221:E250)</f>
        <v>0</v>
      </c>
      <c r="F251" s="169">
        <f>SUM(F221:F250)</f>
        <v>0</v>
      </c>
      <c r="G251" s="169">
        <f>SUM(G221:G250)</f>
        <v>0</v>
      </c>
      <c r="H251" s="169">
        <f>SUM(H221:H250)</f>
        <v>0</v>
      </c>
      <c r="I251" s="169">
        <f>G251+H251</f>
        <v>0</v>
      </c>
    </row>
    <row r="252" spans="1:9" ht="10.5" customHeight="1" thickTop="1" x14ac:dyDescent="0.15">
      <c r="A252" s="512"/>
      <c r="B252" s="521"/>
      <c r="C252" s="138"/>
      <c r="D252" s="14"/>
      <c r="E252" s="14"/>
      <c r="F252" s="14"/>
      <c r="G252" s="14"/>
      <c r="H252" s="198"/>
      <c r="I252" s="170"/>
    </row>
    <row r="253" spans="1:9" ht="10.5" customHeight="1" x14ac:dyDescent="0.15">
      <c r="A253" s="512" t="s">
        <v>658</v>
      </c>
      <c r="C253" s="138"/>
      <c r="D253" s="14"/>
      <c r="E253" s="14"/>
      <c r="F253" s="14"/>
      <c r="G253" s="14"/>
      <c r="H253" s="198"/>
      <c r="I253" s="170"/>
    </row>
    <row r="254" spans="1:9" s="434" customFormat="1" x14ac:dyDescent="0.15">
      <c r="B254" s="523" t="s">
        <v>1577</v>
      </c>
      <c r="C254" s="524" t="s">
        <v>228</v>
      </c>
      <c r="D254" s="316">
        <v>0</v>
      </c>
      <c r="E254" s="316">
        <v>0</v>
      </c>
      <c r="F254" s="316">
        <v>0</v>
      </c>
      <c r="G254" s="528">
        <f t="array" ref="G254">SUM(IF(CertFund&amp;CertProg&amp;CertObj=RIGHT(LEFT($A$2,7),2)&amp;LEFT(A253,4)&amp;B254,CertSalary))</f>
        <v>0</v>
      </c>
      <c r="H254" s="527">
        <v>0</v>
      </c>
      <c r="I254" s="566">
        <f>SUM(G254+H254)</f>
        <v>0</v>
      </c>
    </row>
    <row r="255" spans="1:9" s="434" customFormat="1" x14ac:dyDescent="0.15">
      <c r="B255" s="523" t="s">
        <v>1577</v>
      </c>
      <c r="C255" s="524" t="s">
        <v>510</v>
      </c>
      <c r="D255" s="316">
        <v>0</v>
      </c>
      <c r="E255" s="316">
        <v>0</v>
      </c>
      <c r="F255" s="316">
        <v>0</v>
      </c>
      <c r="G255" s="316">
        <v>0</v>
      </c>
      <c r="H255" s="527">
        <v>0</v>
      </c>
      <c r="I255" s="566">
        <f>SUM(G255+H255)</f>
        <v>0</v>
      </c>
    </row>
    <row r="256" spans="1:9" s="434" customFormat="1" x14ac:dyDescent="0.15">
      <c r="A256" s="524"/>
      <c r="B256" s="523" t="s">
        <v>1578</v>
      </c>
      <c r="C256" s="524" t="s">
        <v>936</v>
      </c>
      <c r="D256" s="316">
        <v>0</v>
      </c>
      <c r="E256" s="316">
        <v>0</v>
      </c>
      <c r="F256" s="316">
        <v>0</v>
      </c>
      <c r="G256" s="529">
        <f t="array" ref="G256">SUM(IF(CertFund&amp;CertProg&amp;CertObj=RIGHT(LEFT($A$2,7),2)&amp;LEFT(A253,4)&amp;B254,CertBen))</f>
        <v>0</v>
      </c>
      <c r="H256" s="527">
        <v>0</v>
      </c>
      <c r="I256" s="566">
        <f>SUM(G256+H256)</f>
        <v>0</v>
      </c>
    </row>
    <row r="257" spans="1:10" x14ac:dyDescent="0.15">
      <c r="A257" s="138"/>
      <c r="B257" s="521" t="s">
        <v>1578</v>
      </c>
      <c r="C257" s="138" t="s">
        <v>511</v>
      </c>
      <c r="D257" s="147">
        <v>0</v>
      </c>
      <c r="E257" s="147">
        <v>0</v>
      </c>
      <c r="F257" s="147">
        <v>0</v>
      </c>
      <c r="G257" s="147">
        <v>0</v>
      </c>
      <c r="H257" s="150">
        <v>0</v>
      </c>
      <c r="I257" s="567">
        <f>SUM(G257+H257)</f>
        <v>0</v>
      </c>
      <c r="J257" s="434"/>
    </row>
    <row r="258" spans="1:10" ht="10.5" customHeight="1" x14ac:dyDescent="0.15">
      <c r="A258" s="512"/>
      <c r="B258" s="521" t="s">
        <v>1579</v>
      </c>
      <c r="C258" s="138" t="s">
        <v>118</v>
      </c>
      <c r="D258" s="147">
        <v>0</v>
      </c>
      <c r="E258" s="147">
        <v>0</v>
      </c>
      <c r="F258" s="147">
        <v>0</v>
      </c>
      <c r="G258" s="147">
        <v>0</v>
      </c>
      <c r="H258" s="291">
        <v>0</v>
      </c>
      <c r="I258" s="579">
        <f t="shared" ref="I258:I288" si="7">SUM(G258+H258)</f>
        <v>0</v>
      </c>
    </row>
    <row r="259" spans="1:10" ht="10.5" customHeight="1" x14ac:dyDescent="0.15">
      <c r="A259" s="512"/>
      <c r="B259" s="521" t="s">
        <v>1580</v>
      </c>
      <c r="C259" s="138" t="s">
        <v>119</v>
      </c>
      <c r="D259" s="147">
        <v>0</v>
      </c>
      <c r="E259" s="147">
        <v>0</v>
      </c>
      <c r="F259" s="147">
        <v>0</v>
      </c>
      <c r="G259" s="147">
        <v>0</v>
      </c>
      <c r="H259" s="291">
        <v>0</v>
      </c>
      <c r="I259" s="579">
        <f t="shared" si="7"/>
        <v>0</v>
      </c>
    </row>
    <row r="260" spans="1:10" ht="10.5" customHeight="1" x14ac:dyDescent="0.15">
      <c r="A260" s="512"/>
      <c r="B260" s="521" t="s">
        <v>120</v>
      </c>
      <c r="C260" s="138" t="s">
        <v>121</v>
      </c>
      <c r="D260" s="147">
        <v>0</v>
      </c>
      <c r="E260" s="147">
        <v>0</v>
      </c>
      <c r="F260" s="147">
        <v>0</v>
      </c>
      <c r="G260" s="147">
        <v>0</v>
      </c>
      <c r="H260" s="291">
        <v>0</v>
      </c>
      <c r="I260" s="579">
        <f t="shared" si="7"/>
        <v>0</v>
      </c>
    </row>
    <row r="261" spans="1:10" ht="10.5" customHeight="1" x14ac:dyDescent="0.15">
      <c r="A261" s="512"/>
      <c r="B261" s="521" t="s">
        <v>122</v>
      </c>
      <c r="C261" s="138" t="s">
        <v>123</v>
      </c>
      <c r="D261" s="147">
        <v>0</v>
      </c>
      <c r="E261" s="147">
        <v>0</v>
      </c>
      <c r="F261" s="147">
        <v>0</v>
      </c>
      <c r="G261" s="147">
        <v>0</v>
      </c>
      <c r="H261" s="291">
        <v>0</v>
      </c>
      <c r="I261" s="579">
        <f t="shared" si="7"/>
        <v>0</v>
      </c>
    </row>
    <row r="262" spans="1:10" ht="10.5" customHeight="1" x14ac:dyDescent="0.15">
      <c r="A262" s="512"/>
      <c r="B262" s="521" t="s">
        <v>1581</v>
      </c>
      <c r="C262" s="138" t="s">
        <v>124</v>
      </c>
      <c r="D262" s="147">
        <v>0</v>
      </c>
      <c r="E262" s="147">
        <v>0</v>
      </c>
      <c r="F262" s="147">
        <v>0</v>
      </c>
      <c r="G262" s="147">
        <v>0</v>
      </c>
      <c r="H262" s="291">
        <v>0</v>
      </c>
      <c r="I262" s="579">
        <f t="shared" si="7"/>
        <v>0</v>
      </c>
    </row>
    <row r="263" spans="1:10" ht="10.5" customHeight="1" x14ac:dyDescent="0.15">
      <c r="A263" s="512"/>
      <c r="B263" s="521" t="s">
        <v>125</v>
      </c>
      <c r="C263" s="138" t="s">
        <v>133</v>
      </c>
      <c r="D263" s="147">
        <v>0</v>
      </c>
      <c r="E263" s="147">
        <v>0</v>
      </c>
      <c r="F263" s="147">
        <v>0</v>
      </c>
      <c r="G263" s="147">
        <v>0</v>
      </c>
      <c r="H263" s="291">
        <v>0</v>
      </c>
      <c r="I263" s="579">
        <f t="shared" si="7"/>
        <v>0</v>
      </c>
    </row>
    <row r="264" spans="1:10" ht="10.5" customHeight="1" x14ac:dyDescent="0.15">
      <c r="A264" s="512"/>
      <c r="B264" s="521" t="s">
        <v>126</v>
      </c>
      <c r="C264" s="138" t="s">
        <v>187</v>
      </c>
      <c r="D264" s="147">
        <v>0</v>
      </c>
      <c r="E264" s="147">
        <v>0</v>
      </c>
      <c r="F264" s="147">
        <v>0</v>
      </c>
      <c r="G264" s="147">
        <v>0</v>
      </c>
      <c r="H264" s="291">
        <v>0</v>
      </c>
      <c r="I264" s="579">
        <f t="shared" si="7"/>
        <v>0</v>
      </c>
    </row>
    <row r="265" spans="1:10" ht="10.5" customHeight="1" x14ac:dyDescent="0.15">
      <c r="A265" s="512"/>
      <c r="B265" s="521" t="s">
        <v>127</v>
      </c>
      <c r="C265" s="138" t="s">
        <v>134</v>
      </c>
      <c r="D265" s="147">
        <v>0</v>
      </c>
      <c r="E265" s="147">
        <v>0</v>
      </c>
      <c r="F265" s="147">
        <v>0</v>
      </c>
      <c r="G265" s="147">
        <v>0</v>
      </c>
      <c r="H265" s="291">
        <v>0</v>
      </c>
      <c r="I265" s="579">
        <f t="shared" si="7"/>
        <v>0</v>
      </c>
    </row>
    <row r="266" spans="1:10" ht="10.5" customHeight="1" x14ac:dyDescent="0.15">
      <c r="A266" s="512"/>
      <c r="B266" s="521" t="s">
        <v>128</v>
      </c>
      <c r="C266" s="138" t="s">
        <v>135</v>
      </c>
      <c r="D266" s="147">
        <v>0</v>
      </c>
      <c r="E266" s="147">
        <v>0</v>
      </c>
      <c r="F266" s="147">
        <v>0</v>
      </c>
      <c r="G266" s="147">
        <v>0</v>
      </c>
      <c r="H266" s="291">
        <v>0</v>
      </c>
      <c r="I266" s="579">
        <f t="shared" si="7"/>
        <v>0</v>
      </c>
    </row>
    <row r="267" spans="1:10" ht="10.5" customHeight="1" x14ac:dyDescent="0.15">
      <c r="A267" s="512"/>
      <c r="B267" s="521" t="s">
        <v>129</v>
      </c>
      <c r="C267" s="138" t="s">
        <v>136</v>
      </c>
      <c r="D267" s="147">
        <v>0</v>
      </c>
      <c r="E267" s="147">
        <v>0</v>
      </c>
      <c r="F267" s="147">
        <v>0</v>
      </c>
      <c r="G267" s="147">
        <v>0</v>
      </c>
      <c r="H267" s="291">
        <v>0</v>
      </c>
      <c r="I267" s="579">
        <f t="shared" si="7"/>
        <v>0</v>
      </c>
    </row>
    <row r="268" spans="1:10" ht="10.5" customHeight="1" x14ac:dyDescent="0.15">
      <c r="A268" s="512"/>
      <c r="B268" s="521" t="s">
        <v>130</v>
      </c>
      <c r="C268" s="138" t="s">
        <v>188</v>
      </c>
      <c r="D268" s="147">
        <v>0</v>
      </c>
      <c r="E268" s="147">
        <v>0</v>
      </c>
      <c r="F268" s="147">
        <v>0</v>
      </c>
      <c r="G268" s="147">
        <v>0</v>
      </c>
      <c r="H268" s="291">
        <v>0</v>
      </c>
      <c r="I268" s="579">
        <f t="shared" si="7"/>
        <v>0</v>
      </c>
    </row>
    <row r="269" spans="1:10" ht="10.5" customHeight="1" x14ac:dyDescent="0.15">
      <c r="A269" s="512"/>
      <c r="B269" s="521" t="s">
        <v>131</v>
      </c>
      <c r="C269" s="138" t="s">
        <v>137</v>
      </c>
      <c r="D269" s="147">
        <v>0</v>
      </c>
      <c r="E269" s="147">
        <v>0</v>
      </c>
      <c r="F269" s="147">
        <v>0</v>
      </c>
      <c r="G269" s="147">
        <v>0</v>
      </c>
      <c r="H269" s="291">
        <v>0</v>
      </c>
      <c r="I269" s="579">
        <f t="shared" si="7"/>
        <v>0</v>
      </c>
    </row>
    <row r="270" spans="1:10" ht="10.5" customHeight="1" x14ac:dyDescent="0.15">
      <c r="A270" s="512"/>
      <c r="B270" s="521" t="s">
        <v>132</v>
      </c>
      <c r="C270" s="138" t="s">
        <v>1617</v>
      </c>
      <c r="D270" s="147">
        <v>0</v>
      </c>
      <c r="E270" s="147">
        <v>0</v>
      </c>
      <c r="F270" s="147">
        <v>0</v>
      </c>
      <c r="G270" s="147">
        <v>0</v>
      </c>
      <c r="H270" s="291">
        <v>0</v>
      </c>
      <c r="I270" s="579">
        <f t="shared" si="7"/>
        <v>0</v>
      </c>
    </row>
    <row r="271" spans="1:10" ht="10.5" customHeight="1" x14ac:dyDescent="0.15">
      <c r="A271" s="512"/>
      <c r="B271" s="521" t="s">
        <v>675</v>
      </c>
      <c r="C271" s="138" t="s">
        <v>698</v>
      </c>
      <c r="D271" s="147">
        <v>0</v>
      </c>
      <c r="E271" s="147">
        <v>0</v>
      </c>
      <c r="F271" s="147">
        <v>0</v>
      </c>
      <c r="G271" s="147">
        <v>0</v>
      </c>
      <c r="H271" s="291">
        <v>0</v>
      </c>
      <c r="I271" s="579">
        <f t="shared" si="7"/>
        <v>0</v>
      </c>
    </row>
    <row r="272" spans="1:10" ht="10.5" customHeight="1" x14ac:dyDescent="0.15">
      <c r="A272" s="512"/>
      <c r="B272" s="521" t="s">
        <v>1624</v>
      </c>
      <c r="C272" s="138" t="s">
        <v>840</v>
      </c>
      <c r="D272" s="147">
        <v>0</v>
      </c>
      <c r="E272" s="147">
        <v>0</v>
      </c>
      <c r="F272" s="147">
        <v>0</v>
      </c>
      <c r="G272" s="147">
        <v>0</v>
      </c>
      <c r="H272" s="291">
        <v>0</v>
      </c>
      <c r="I272" s="579">
        <f t="shared" si="7"/>
        <v>0</v>
      </c>
    </row>
    <row r="273" spans="1:9" ht="10.5" customHeight="1" x14ac:dyDescent="0.15">
      <c r="A273" s="512"/>
      <c r="B273" s="521" t="s">
        <v>1625</v>
      </c>
      <c r="C273" s="138" t="s">
        <v>842</v>
      </c>
      <c r="D273" s="147">
        <v>0</v>
      </c>
      <c r="E273" s="147">
        <v>0</v>
      </c>
      <c r="F273" s="147">
        <v>0</v>
      </c>
      <c r="G273" s="147">
        <v>0</v>
      </c>
      <c r="H273" s="291">
        <v>0</v>
      </c>
      <c r="I273" s="579">
        <f t="shared" si="7"/>
        <v>0</v>
      </c>
    </row>
    <row r="274" spans="1:9" ht="10.5" customHeight="1" x14ac:dyDescent="0.15">
      <c r="A274" s="512"/>
      <c r="B274" s="521" t="s">
        <v>843</v>
      </c>
      <c r="C274" s="138" t="s">
        <v>848</v>
      </c>
      <c r="D274" s="147">
        <v>0</v>
      </c>
      <c r="E274" s="147">
        <v>0</v>
      </c>
      <c r="F274" s="147">
        <v>0</v>
      </c>
      <c r="G274" s="147">
        <v>0</v>
      </c>
      <c r="H274" s="291">
        <v>0</v>
      </c>
      <c r="I274" s="579">
        <f t="shared" si="7"/>
        <v>0</v>
      </c>
    </row>
    <row r="275" spans="1:9" ht="10.5" customHeight="1" x14ac:dyDescent="0.15">
      <c r="A275" s="512"/>
      <c r="B275" s="521" t="s">
        <v>844</v>
      </c>
      <c r="C275" s="138" t="s">
        <v>186</v>
      </c>
      <c r="D275" s="147">
        <v>0</v>
      </c>
      <c r="E275" s="147">
        <v>0</v>
      </c>
      <c r="F275" s="147">
        <v>0</v>
      </c>
      <c r="G275" s="147">
        <v>0</v>
      </c>
      <c r="H275" s="291">
        <v>0</v>
      </c>
      <c r="I275" s="579">
        <f t="shared" si="7"/>
        <v>0</v>
      </c>
    </row>
    <row r="276" spans="1:9" ht="10.5" customHeight="1" x14ac:dyDescent="0.15">
      <c r="A276" s="512"/>
      <c r="B276" s="521" t="s">
        <v>845</v>
      </c>
      <c r="C276" s="138" t="s">
        <v>154</v>
      </c>
      <c r="D276" s="147">
        <v>0</v>
      </c>
      <c r="E276" s="147">
        <v>0</v>
      </c>
      <c r="F276" s="147">
        <v>0</v>
      </c>
      <c r="G276" s="147">
        <v>0</v>
      </c>
      <c r="H276" s="291">
        <v>0</v>
      </c>
      <c r="I276" s="579">
        <f t="shared" si="7"/>
        <v>0</v>
      </c>
    </row>
    <row r="277" spans="1:9" ht="10.5" customHeight="1" x14ac:dyDescent="0.15">
      <c r="A277" s="512"/>
      <c r="B277" s="521" t="s">
        <v>846</v>
      </c>
      <c r="C277" s="138" t="s">
        <v>155</v>
      </c>
      <c r="D277" s="147">
        <v>0</v>
      </c>
      <c r="E277" s="147">
        <v>0</v>
      </c>
      <c r="F277" s="147">
        <v>0</v>
      </c>
      <c r="G277" s="147">
        <v>0</v>
      </c>
      <c r="H277" s="291">
        <v>0</v>
      </c>
      <c r="I277" s="579">
        <f t="shared" si="7"/>
        <v>0</v>
      </c>
    </row>
    <row r="278" spans="1:9" ht="10.5" customHeight="1" x14ac:dyDescent="0.15">
      <c r="A278" s="512"/>
      <c r="B278" s="521" t="s">
        <v>1582</v>
      </c>
      <c r="C278" s="138" t="s">
        <v>156</v>
      </c>
      <c r="D278" s="147">
        <v>0</v>
      </c>
      <c r="E278" s="147">
        <v>0</v>
      </c>
      <c r="F278" s="147">
        <v>0</v>
      </c>
      <c r="G278" s="147">
        <v>0</v>
      </c>
      <c r="H278" s="291">
        <v>0</v>
      </c>
      <c r="I278" s="579">
        <f t="shared" si="7"/>
        <v>0</v>
      </c>
    </row>
    <row r="279" spans="1:9" ht="10.5" customHeight="1" x14ac:dyDescent="0.15">
      <c r="A279" s="512"/>
      <c r="B279" s="521" t="s">
        <v>847</v>
      </c>
      <c r="C279" s="138" t="s">
        <v>157</v>
      </c>
      <c r="D279" s="147">
        <v>0</v>
      </c>
      <c r="E279" s="147">
        <v>0</v>
      </c>
      <c r="F279" s="147">
        <v>0</v>
      </c>
      <c r="G279" s="147">
        <v>0</v>
      </c>
      <c r="H279" s="291">
        <v>0</v>
      </c>
      <c r="I279" s="579">
        <f t="shared" si="7"/>
        <v>0</v>
      </c>
    </row>
    <row r="280" spans="1:9" ht="10.5" customHeight="1" x14ac:dyDescent="0.15">
      <c r="A280" s="512"/>
      <c r="B280" s="521" t="s">
        <v>1583</v>
      </c>
      <c r="C280" s="138" t="s">
        <v>160</v>
      </c>
      <c r="D280" s="147">
        <v>0</v>
      </c>
      <c r="E280" s="147">
        <v>0</v>
      </c>
      <c r="F280" s="147">
        <v>0</v>
      </c>
      <c r="G280" s="147">
        <v>0</v>
      </c>
      <c r="H280" s="291">
        <v>0</v>
      </c>
      <c r="I280" s="579">
        <f t="shared" si="7"/>
        <v>0</v>
      </c>
    </row>
    <row r="281" spans="1:9" ht="10.5" customHeight="1" x14ac:dyDescent="0.15">
      <c r="A281" s="512"/>
      <c r="B281" s="521" t="s">
        <v>634</v>
      </c>
      <c r="C281" s="138" t="s">
        <v>165</v>
      </c>
      <c r="D281" s="147">
        <v>0</v>
      </c>
      <c r="E281" s="147">
        <v>0</v>
      </c>
      <c r="F281" s="147">
        <v>0</v>
      </c>
      <c r="G281" s="147">
        <v>0</v>
      </c>
      <c r="H281" s="291">
        <v>0</v>
      </c>
      <c r="I281" s="579">
        <f t="shared" si="7"/>
        <v>0</v>
      </c>
    </row>
    <row r="282" spans="1:9" ht="10.5" customHeight="1" x14ac:dyDescent="0.15">
      <c r="A282" s="512"/>
      <c r="B282" s="521" t="s">
        <v>202</v>
      </c>
      <c r="C282" s="138" t="s">
        <v>171</v>
      </c>
      <c r="D282" s="147">
        <v>0</v>
      </c>
      <c r="E282" s="147">
        <v>0</v>
      </c>
      <c r="F282" s="147">
        <v>0</v>
      </c>
      <c r="G282" s="147">
        <v>0</v>
      </c>
      <c r="H282" s="291">
        <v>0</v>
      </c>
      <c r="I282" s="579">
        <f t="shared" si="7"/>
        <v>0</v>
      </c>
    </row>
    <row r="283" spans="1:9" ht="10.5" customHeight="1" x14ac:dyDescent="0.15">
      <c r="A283" s="512"/>
      <c r="B283" s="521" t="s">
        <v>630</v>
      </c>
      <c r="C283" s="138" t="s">
        <v>172</v>
      </c>
      <c r="D283" s="147">
        <v>0</v>
      </c>
      <c r="E283" s="147">
        <v>0</v>
      </c>
      <c r="F283" s="147">
        <v>0</v>
      </c>
      <c r="G283" s="147">
        <v>0</v>
      </c>
      <c r="H283" s="291">
        <v>0</v>
      </c>
      <c r="I283" s="579">
        <f t="shared" si="7"/>
        <v>0</v>
      </c>
    </row>
    <row r="284" spans="1:9" ht="10.5" customHeight="1" x14ac:dyDescent="0.15">
      <c r="A284" s="512"/>
      <c r="B284" s="650" t="s">
        <v>631</v>
      </c>
      <c r="C284" s="651" t="s">
        <v>173</v>
      </c>
      <c r="D284" s="147">
        <v>0</v>
      </c>
      <c r="E284" s="147">
        <v>0</v>
      </c>
      <c r="F284" s="147">
        <v>0</v>
      </c>
      <c r="G284" s="147">
        <v>0</v>
      </c>
      <c r="H284" s="291">
        <v>0</v>
      </c>
      <c r="I284" s="579">
        <f t="shared" si="7"/>
        <v>0</v>
      </c>
    </row>
    <row r="285" spans="1:9" ht="10.5" customHeight="1" x14ac:dyDescent="0.15">
      <c r="A285" s="512"/>
      <c r="B285" s="521" t="s">
        <v>1584</v>
      </c>
      <c r="C285" s="138" t="s">
        <v>178</v>
      </c>
      <c r="D285" s="147">
        <v>0</v>
      </c>
      <c r="E285" s="147">
        <v>0</v>
      </c>
      <c r="F285" s="147">
        <v>0</v>
      </c>
      <c r="G285" s="147">
        <v>0</v>
      </c>
      <c r="H285" s="291">
        <v>0</v>
      </c>
      <c r="I285" s="579">
        <f t="shared" si="7"/>
        <v>0</v>
      </c>
    </row>
    <row r="286" spans="1:9" ht="10.5" customHeight="1" x14ac:dyDescent="0.15">
      <c r="A286" s="512"/>
      <c r="B286" s="521" t="s">
        <v>174</v>
      </c>
      <c r="C286" s="138" t="s">
        <v>179</v>
      </c>
      <c r="D286" s="147">
        <v>0</v>
      </c>
      <c r="E286" s="147">
        <v>0</v>
      </c>
      <c r="F286" s="147">
        <v>0</v>
      </c>
      <c r="G286" s="147">
        <v>0</v>
      </c>
      <c r="H286" s="291">
        <v>0</v>
      </c>
      <c r="I286" s="579">
        <f t="shared" si="7"/>
        <v>0</v>
      </c>
    </row>
    <row r="287" spans="1:9" ht="10.5" customHeight="1" x14ac:dyDescent="0.15">
      <c r="A287" s="512"/>
      <c r="B287" s="521" t="s">
        <v>175</v>
      </c>
      <c r="C287" s="138" t="s">
        <v>180</v>
      </c>
      <c r="D287" s="147">
        <v>0</v>
      </c>
      <c r="E287" s="147">
        <v>0</v>
      </c>
      <c r="F287" s="147">
        <v>0</v>
      </c>
      <c r="G287" s="147">
        <v>0</v>
      </c>
      <c r="H287" s="291">
        <v>0</v>
      </c>
      <c r="I287" s="579">
        <f t="shared" si="7"/>
        <v>0</v>
      </c>
    </row>
    <row r="288" spans="1:9" ht="10.5" customHeight="1" x14ac:dyDescent="0.15">
      <c r="A288" s="512"/>
      <c r="B288" s="521" t="s">
        <v>176</v>
      </c>
      <c r="C288" s="138" t="s">
        <v>181</v>
      </c>
      <c r="D288" s="147">
        <v>0</v>
      </c>
      <c r="E288" s="147">
        <v>0</v>
      </c>
      <c r="F288" s="147">
        <v>0</v>
      </c>
      <c r="G288" s="147">
        <v>0</v>
      </c>
      <c r="H288" s="291">
        <v>0</v>
      </c>
      <c r="I288" s="579">
        <f t="shared" si="7"/>
        <v>0</v>
      </c>
    </row>
    <row r="289" spans="1:10" ht="10.5" customHeight="1" x14ac:dyDescent="0.15">
      <c r="A289" s="512"/>
      <c r="B289" s="521" t="s">
        <v>177</v>
      </c>
      <c r="C289" s="138" t="s">
        <v>182</v>
      </c>
      <c r="D289" s="147">
        <v>0</v>
      </c>
      <c r="E289" s="147">
        <v>0</v>
      </c>
      <c r="F289" s="147">
        <v>0</v>
      </c>
      <c r="G289" s="147">
        <v>0</v>
      </c>
      <c r="H289" s="291">
        <v>0</v>
      </c>
      <c r="I289" s="579">
        <f>SUM(G289+H289)</f>
        <v>0</v>
      </c>
    </row>
    <row r="290" spans="1:10" ht="10.5" customHeight="1" thickBot="1" x14ac:dyDescent="0.2">
      <c r="A290" s="512"/>
      <c r="B290" s="521" t="s">
        <v>632</v>
      </c>
      <c r="C290" s="138" t="s">
        <v>183</v>
      </c>
      <c r="D290" s="144">
        <v>0</v>
      </c>
      <c r="E290" s="144">
        <v>0</v>
      </c>
      <c r="F290" s="144">
        <v>0</v>
      </c>
      <c r="G290" s="144">
        <v>0</v>
      </c>
      <c r="H290" s="291">
        <v>0</v>
      </c>
      <c r="I290" s="579">
        <f>SUM(G290+H290)</f>
        <v>0</v>
      </c>
    </row>
    <row r="291" spans="1:10" ht="10.5" customHeight="1" thickTop="1" thickBot="1" x14ac:dyDescent="0.2">
      <c r="A291" s="512"/>
      <c r="B291" s="521"/>
      <c r="C291" s="138" t="s">
        <v>659</v>
      </c>
      <c r="D291" s="169">
        <f>SUM(D254:D290)</f>
        <v>0</v>
      </c>
      <c r="E291" s="169">
        <f>SUM(E254:E290)</f>
        <v>0</v>
      </c>
      <c r="F291" s="169">
        <f>SUM(F254:F290)</f>
        <v>0</v>
      </c>
      <c r="G291" s="169">
        <f>SUM(G254:G290)</f>
        <v>0</v>
      </c>
      <c r="H291" s="169">
        <f>SUM(H254:H290)</f>
        <v>0</v>
      </c>
      <c r="I291" s="169">
        <f>G291+H291</f>
        <v>0</v>
      </c>
    </row>
    <row r="292" spans="1:10" ht="10.5" customHeight="1" thickTop="1" x14ac:dyDescent="0.15">
      <c r="A292" s="512"/>
      <c r="B292" s="521"/>
      <c r="C292" s="138"/>
      <c r="D292" s="14"/>
      <c r="E292" s="14"/>
      <c r="F292" s="14"/>
      <c r="G292" s="14"/>
      <c r="H292" s="198"/>
      <c r="I292" s="170"/>
    </row>
    <row r="293" spans="1:10" ht="10.5" customHeight="1" x14ac:dyDescent="0.15">
      <c r="A293" s="512" t="s">
        <v>660</v>
      </c>
      <c r="C293" s="138"/>
      <c r="D293" s="14"/>
      <c r="E293" s="14"/>
      <c r="F293" s="14"/>
      <c r="G293" s="14"/>
      <c r="H293" s="198"/>
      <c r="I293" s="170"/>
    </row>
    <row r="294" spans="1:10" s="434" customFormat="1" x14ac:dyDescent="0.15">
      <c r="B294" s="523" t="s">
        <v>1577</v>
      </c>
      <c r="C294" s="524" t="s">
        <v>228</v>
      </c>
      <c r="D294" s="316">
        <v>0</v>
      </c>
      <c r="E294" s="316">
        <v>0</v>
      </c>
      <c r="F294" s="316">
        <v>0</v>
      </c>
      <c r="G294" s="528">
        <f t="array" ref="G294">SUM(IF(CertFund&amp;CertProg&amp;CertObj=RIGHT(LEFT($A$2,7),2)&amp;LEFT(A293,4)&amp;B294,CertSalary))</f>
        <v>0</v>
      </c>
      <c r="H294" s="527">
        <v>0</v>
      </c>
      <c r="I294" s="566">
        <f>SUM(G294+H294)</f>
        <v>0</v>
      </c>
    </row>
    <row r="295" spans="1:10" s="434" customFormat="1" x14ac:dyDescent="0.15">
      <c r="B295" s="523" t="s">
        <v>1577</v>
      </c>
      <c r="C295" s="524" t="s">
        <v>510</v>
      </c>
      <c r="D295" s="316">
        <v>0</v>
      </c>
      <c r="E295" s="316">
        <v>0</v>
      </c>
      <c r="F295" s="316">
        <v>0</v>
      </c>
      <c r="G295" s="316">
        <v>0</v>
      </c>
      <c r="H295" s="527">
        <v>0</v>
      </c>
      <c r="I295" s="566">
        <f>SUM(G295+H295)</f>
        <v>0</v>
      </c>
    </row>
    <row r="296" spans="1:10" s="434" customFormat="1" x14ac:dyDescent="0.15">
      <c r="A296" s="524"/>
      <c r="B296" s="523" t="s">
        <v>1578</v>
      </c>
      <c r="C296" s="524" t="s">
        <v>936</v>
      </c>
      <c r="D296" s="316">
        <v>0</v>
      </c>
      <c r="E296" s="316">
        <v>0</v>
      </c>
      <c r="F296" s="316">
        <v>0</v>
      </c>
      <c r="G296" s="529">
        <f t="array" ref="G296">SUM(IF(CertFund&amp;CertProg&amp;CertObj=RIGHT(LEFT($A$2,7),2)&amp;LEFT(A293,4)&amp;B294,CertBen))</f>
        <v>0</v>
      </c>
      <c r="H296" s="527">
        <v>0</v>
      </c>
      <c r="I296" s="566">
        <f>SUM(G296+H296)</f>
        <v>0</v>
      </c>
    </row>
    <row r="297" spans="1:10" x14ac:dyDescent="0.15">
      <c r="A297" s="138"/>
      <c r="B297" s="521" t="s">
        <v>1578</v>
      </c>
      <c r="C297" s="138" t="s">
        <v>511</v>
      </c>
      <c r="D297" s="147">
        <v>0</v>
      </c>
      <c r="E297" s="147">
        <v>0</v>
      </c>
      <c r="F297" s="147">
        <v>0</v>
      </c>
      <c r="G297" s="147">
        <v>0</v>
      </c>
      <c r="H297" s="150">
        <v>0</v>
      </c>
      <c r="I297" s="567">
        <f>SUM(G297+H297)</f>
        <v>0</v>
      </c>
      <c r="J297" s="434"/>
    </row>
    <row r="298" spans="1:10" ht="10.5" customHeight="1" x14ac:dyDescent="0.15">
      <c r="A298" s="512"/>
      <c r="B298" s="521" t="s">
        <v>1579</v>
      </c>
      <c r="C298" s="138" t="s">
        <v>118</v>
      </c>
      <c r="D298" s="147">
        <v>0</v>
      </c>
      <c r="E298" s="147">
        <v>0</v>
      </c>
      <c r="F298" s="147">
        <v>0</v>
      </c>
      <c r="G298" s="147">
        <v>0</v>
      </c>
      <c r="H298" s="291">
        <v>0</v>
      </c>
      <c r="I298" s="579">
        <f t="shared" ref="I298:I322" si="8">SUM(G298+H298)</f>
        <v>0</v>
      </c>
    </row>
    <row r="299" spans="1:10" ht="10.5" customHeight="1" x14ac:dyDescent="0.15">
      <c r="A299" s="512"/>
      <c r="B299" s="521" t="s">
        <v>1580</v>
      </c>
      <c r="C299" s="138" t="s">
        <v>119</v>
      </c>
      <c r="D299" s="147">
        <v>0</v>
      </c>
      <c r="E299" s="147">
        <v>0</v>
      </c>
      <c r="F299" s="147">
        <v>0</v>
      </c>
      <c r="G299" s="147">
        <v>0</v>
      </c>
      <c r="H299" s="291">
        <v>0</v>
      </c>
      <c r="I299" s="579">
        <f t="shared" si="8"/>
        <v>0</v>
      </c>
    </row>
    <row r="300" spans="1:10" ht="10.5" customHeight="1" x14ac:dyDescent="0.15">
      <c r="A300" s="512"/>
      <c r="B300" s="521" t="s">
        <v>120</v>
      </c>
      <c r="C300" s="138" t="s">
        <v>121</v>
      </c>
      <c r="D300" s="147">
        <v>0</v>
      </c>
      <c r="E300" s="147">
        <v>0</v>
      </c>
      <c r="F300" s="147">
        <v>0</v>
      </c>
      <c r="G300" s="147">
        <v>0</v>
      </c>
      <c r="H300" s="291">
        <v>0</v>
      </c>
      <c r="I300" s="579">
        <f t="shared" si="8"/>
        <v>0</v>
      </c>
    </row>
    <row r="301" spans="1:10" ht="10.5" customHeight="1" x14ac:dyDescent="0.15">
      <c r="A301" s="512"/>
      <c r="B301" s="521" t="s">
        <v>122</v>
      </c>
      <c r="C301" s="138" t="s">
        <v>123</v>
      </c>
      <c r="D301" s="147">
        <v>0</v>
      </c>
      <c r="E301" s="147">
        <v>0</v>
      </c>
      <c r="F301" s="147">
        <v>0</v>
      </c>
      <c r="G301" s="147">
        <v>0</v>
      </c>
      <c r="H301" s="291">
        <v>0</v>
      </c>
      <c r="I301" s="579">
        <f t="shared" si="8"/>
        <v>0</v>
      </c>
    </row>
    <row r="302" spans="1:10" ht="10.5" customHeight="1" x14ac:dyDescent="0.15">
      <c r="A302" s="512"/>
      <c r="B302" s="521" t="s">
        <v>1581</v>
      </c>
      <c r="C302" s="138" t="s">
        <v>124</v>
      </c>
      <c r="D302" s="147">
        <v>0</v>
      </c>
      <c r="E302" s="147">
        <v>0</v>
      </c>
      <c r="F302" s="147">
        <v>0</v>
      </c>
      <c r="G302" s="147">
        <v>0</v>
      </c>
      <c r="H302" s="291">
        <v>0</v>
      </c>
      <c r="I302" s="579">
        <f t="shared" si="8"/>
        <v>0</v>
      </c>
    </row>
    <row r="303" spans="1:10" ht="10.5" customHeight="1" x14ac:dyDescent="0.15">
      <c r="A303" s="512"/>
      <c r="B303" s="521" t="s">
        <v>675</v>
      </c>
      <c r="C303" s="138" t="s">
        <v>698</v>
      </c>
      <c r="D303" s="147">
        <v>0</v>
      </c>
      <c r="E303" s="147">
        <v>0</v>
      </c>
      <c r="F303" s="147">
        <v>0</v>
      </c>
      <c r="G303" s="147">
        <v>0</v>
      </c>
      <c r="H303" s="291">
        <v>0</v>
      </c>
      <c r="I303" s="579">
        <f t="shared" si="8"/>
        <v>0</v>
      </c>
    </row>
    <row r="304" spans="1:10" ht="10.5" customHeight="1" x14ac:dyDescent="0.15">
      <c r="A304" s="512"/>
      <c r="B304" s="521" t="s">
        <v>1624</v>
      </c>
      <c r="C304" s="138" t="s">
        <v>840</v>
      </c>
      <c r="D304" s="147">
        <v>0</v>
      </c>
      <c r="E304" s="147">
        <v>0</v>
      </c>
      <c r="F304" s="147">
        <v>0</v>
      </c>
      <c r="G304" s="147">
        <v>0</v>
      </c>
      <c r="H304" s="291">
        <v>0</v>
      </c>
      <c r="I304" s="579">
        <f t="shared" si="8"/>
        <v>0</v>
      </c>
    </row>
    <row r="305" spans="1:9" ht="10.5" customHeight="1" x14ac:dyDescent="0.15">
      <c r="A305" s="512"/>
      <c r="B305" s="521" t="s">
        <v>1625</v>
      </c>
      <c r="C305" s="138" t="s">
        <v>842</v>
      </c>
      <c r="D305" s="147">
        <v>0</v>
      </c>
      <c r="E305" s="147">
        <v>0</v>
      </c>
      <c r="F305" s="147">
        <v>0</v>
      </c>
      <c r="G305" s="147">
        <v>0</v>
      </c>
      <c r="H305" s="291">
        <v>0</v>
      </c>
      <c r="I305" s="579">
        <f t="shared" si="8"/>
        <v>0</v>
      </c>
    </row>
    <row r="306" spans="1:9" ht="10.5" customHeight="1" x14ac:dyDescent="0.15">
      <c r="A306" s="512"/>
      <c r="B306" s="521" t="s">
        <v>843</v>
      </c>
      <c r="C306" s="138" t="s">
        <v>848</v>
      </c>
      <c r="D306" s="147">
        <v>0</v>
      </c>
      <c r="E306" s="147">
        <v>0</v>
      </c>
      <c r="F306" s="147">
        <v>0</v>
      </c>
      <c r="G306" s="147">
        <v>0</v>
      </c>
      <c r="H306" s="291">
        <v>0</v>
      </c>
      <c r="I306" s="579">
        <f t="shared" si="8"/>
        <v>0</v>
      </c>
    </row>
    <row r="307" spans="1:9" ht="10.5" customHeight="1" x14ac:dyDescent="0.15">
      <c r="A307" s="512"/>
      <c r="B307" s="521" t="s">
        <v>844</v>
      </c>
      <c r="C307" s="138" t="s">
        <v>186</v>
      </c>
      <c r="D307" s="147">
        <v>0</v>
      </c>
      <c r="E307" s="147">
        <v>0</v>
      </c>
      <c r="F307" s="147">
        <v>0</v>
      </c>
      <c r="G307" s="147">
        <v>0</v>
      </c>
      <c r="H307" s="291">
        <v>0</v>
      </c>
      <c r="I307" s="579">
        <f t="shared" si="8"/>
        <v>0</v>
      </c>
    </row>
    <row r="308" spans="1:9" ht="10.5" customHeight="1" x14ac:dyDescent="0.15">
      <c r="A308" s="512"/>
      <c r="B308" s="521" t="s">
        <v>845</v>
      </c>
      <c r="C308" s="138" t="s">
        <v>154</v>
      </c>
      <c r="D308" s="147">
        <v>0</v>
      </c>
      <c r="E308" s="147">
        <v>0</v>
      </c>
      <c r="F308" s="147">
        <v>0</v>
      </c>
      <c r="G308" s="147">
        <v>0</v>
      </c>
      <c r="H308" s="291">
        <v>0</v>
      </c>
      <c r="I308" s="579">
        <f t="shared" si="8"/>
        <v>0</v>
      </c>
    </row>
    <row r="309" spans="1:9" ht="10.5" customHeight="1" x14ac:dyDescent="0.15">
      <c r="A309" s="512"/>
      <c r="B309" s="521" t="s">
        <v>846</v>
      </c>
      <c r="C309" s="138" t="s">
        <v>155</v>
      </c>
      <c r="D309" s="147">
        <v>0</v>
      </c>
      <c r="E309" s="147">
        <v>0</v>
      </c>
      <c r="F309" s="147">
        <v>0</v>
      </c>
      <c r="G309" s="147">
        <v>0</v>
      </c>
      <c r="H309" s="291">
        <v>0</v>
      </c>
      <c r="I309" s="579">
        <f t="shared" si="8"/>
        <v>0</v>
      </c>
    </row>
    <row r="310" spans="1:9" ht="10.5" customHeight="1" x14ac:dyDescent="0.15">
      <c r="A310" s="512"/>
      <c r="B310" s="521" t="s">
        <v>332</v>
      </c>
      <c r="C310" s="138" t="s">
        <v>463</v>
      </c>
      <c r="D310" s="147">
        <v>0</v>
      </c>
      <c r="E310" s="147">
        <v>0</v>
      </c>
      <c r="F310" s="147">
        <v>0</v>
      </c>
      <c r="G310" s="147">
        <v>0</v>
      </c>
      <c r="H310" s="291">
        <v>0</v>
      </c>
      <c r="I310" s="579">
        <f t="shared" si="8"/>
        <v>0</v>
      </c>
    </row>
    <row r="311" spans="1:9" ht="10.5" customHeight="1" x14ac:dyDescent="0.15">
      <c r="A311" s="512"/>
      <c r="B311" s="521" t="s">
        <v>1582</v>
      </c>
      <c r="C311" s="138" t="s">
        <v>156</v>
      </c>
      <c r="D311" s="147">
        <v>0</v>
      </c>
      <c r="E311" s="147">
        <v>0</v>
      </c>
      <c r="F311" s="147">
        <v>0</v>
      </c>
      <c r="G311" s="147">
        <v>0</v>
      </c>
      <c r="H311" s="291">
        <v>0</v>
      </c>
      <c r="I311" s="579">
        <f t="shared" si="8"/>
        <v>0</v>
      </c>
    </row>
    <row r="312" spans="1:9" ht="10.5" customHeight="1" x14ac:dyDescent="0.15">
      <c r="A312" s="512"/>
      <c r="B312" s="521" t="s">
        <v>847</v>
      </c>
      <c r="C312" s="138" t="s">
        <v>157</v>
      </c>
      <c r="D312" s="147">
        <v>0</v>
      </c>
      <c r="E312" s="147">
        <v>0</v>
      </c>
      <c r="F312" s="147">
        <v>0</v>
      </c>
      <c r="G312" s="147">
        <v>0</v>
      </c>
      <c r="H312" s="291">
        <v>0</v>
      </c>
      <c r="I312" s="579">
        <f t="shared" si="8"/>
        <v>0</v>
      </c>
    </row>
    <row r="313" spans="1:9" ht="10.5" customHeight="1" x14ac:dyDescent="0.15">
      <c r="A313" s="512"/>
      <c r="B313" s="521" t="s">
        <v>1583</v>
      </c>
      <c r="C313" s="138" t="s">
        <v>160</v>
      </c>
      <c r="D313" s="147">
        <v>0</v>
      </c>
      <c r="E313" s="147">
        <v>0</v>
      </c>
      <c r="F313" s="147">
        <v>0</v>
      </c>
      <c r="G313" s="147">
        <v>0</v>
      </c>
      <c r="H313" s="291">
        <v>0</v>
      </c>
      <c r="I313" s="579">
        <f t="shared" si="8"/>
        <v>0</v>
      </c>
    </row>
    <row r="314" spans="1:9" ht="10.5" customHeight="1" x14ac:dyDescent="0.15">
      <c r="A314" s="512"/>
      <c r="B314" s="521" t="s">
        <v>634</v>
      </c>
      <c r="C314" s="138" t="s">
        <v>165</v>
      </c>
      <c r="D314" s="147">
        <v>0</v>
      </c>
      <c r="E314" s="147">
        <v>0</v>
      </c>
      <c r="F314" s="147">
        <v>0</v>
      </c>
      <c r="G314" s="147">
        <v>0</v>
      </c>
      <c r="H314" s="291">
        <v>0</v>
      </c>
      <c r="I314" s="579">
        <f t="shared" si="8"/>
        <v>0</v>
      </c>
    </row>
    <row r="315" spans="1:9" ht="10.5" customHeight="1" x14ac:dyDescent="0.15">
      <c r="A315" s="512"/>
      <c r="B315" s="521" t="s">
        <v>630</v>
      </c>
      <c r="C315" s="138" t="s">
        <v>172</v>
      </c>
      <c r="D315" s="147">
        <v>0</v>
      </c>
      <c r="E315" s="147">
        <v>0</v>
      </c>
      <c r="F315" s="147">
        <v>0</v>
      </c>
      <c r="G315" s="147">
        <v>0</v>
      </c>
      <c r="H315" s="291">
        <v>0</v>
      </c>
      <c r="I315" s="579">
        <f t="shared" si="8"/>
        <v>0</v>
      </c>
    </row>
    <row r="316" spans="1:9" ht="10.5" customHeight="1" x14ac:dyDescent="0.15">
      <c r="A316" s="512"/>
      <c r="B316" s="650" t="s">
        <v>631</v>
      </c>
      <c r="C316" s="651" t="s">
        <v>173</v>
      </c>
      <c r="D316" s="147">
        <v>0</v>
      </c>
      <c r="E316" s="147">
        <v>0</v>
      </c>
      <c r="F316" s="147">
        <v>0</v>
      </c>
      <c r="G316" s="147">
        <v>0</v>
      </c>
      <c r="H316" s="291">
        <v>0</v>
      </c>
      <c r="I316" s="579">
        <f t="shared" si="8"/>
        <v>0</v>
      </c>
    </row>
    <row r="317" spans="1:9" ht="10.5" customHeight="1" x14ac:dyDescent="0.15">
      <c r="A317" s="512"/>
      <c r="B317" s="521" t="s">
        <v>1584</v>
      </c>
      <c r="C317" s="138" t="s">
        <v>178</v>
      </c>
      <c r="D317" s="147">
        <v>0</v>
      </c>
      <c r="E317" s="147">
        <v>0</v>
      </c>
      <c r="F317" s="147">
        <v>0</v>
      </c>
      <c r="G317" s="147">
        <v>0</v>
      </c>
      <c r="H317" s="291">
        <v>0</v>
      </c>
      <c r="I317" s="579">
        <f t="shared" si="8"/>
        <v>0</v>
      </c>
    </row>
    <row r="318" spans="1:9" ht="10.5" customHeight="1" x14ac:dyDescent="0.15">
      <c r="A318" s="512"/>
      <c r="B318" s="521" t="s">
        <v>174</v>
      </c>
      <c r="C318" s="138" t="s">
        <v>179</v>
      </c>
      <c r="D318" s="147">
        <v>0</v>
      </c>
      <c r="E318" s="147">
        <v>0</v>
      </c>
      <c r="F318" s="147">
        <v>0</v>
      </c>
      <c r="G318" s="147">
        <v>0</v>
      </c>
      <c r="H318" s="291">
        <v>0</v>
      </c>
      <c r="I318" s="579">
        <f t="shared" si="8"/>
        <v>0</v>
      </c>
    </row>
    <row r="319" spans="1:9" ht="10.5" customHeight="1" x14ac:dyDescent="0.15">
      <c r="A319" s="512"/>
      <c r="B319" s="521" t="s">
        <v>175</v>
      </c>
      <c r="C319" s="138" t="s">
        <v>180</v>
      </c>
      <c r="D319" s="147">
        <v>0</v>
      </c>
      <c r="E319" s="147">
        <v>0</v>
      </c>
      <c r="F319" s="147">
        <v>0</v>
      </c>
      <c r="G319" s="147">
        <v>0</v>
      </c>
      <c r="H319" s="291">
        <v>0</v>
      </c>
      <c r="I319" s="579">
        <f t="shared" si="8"/>
        <v>0</v>
      </c>
    </row>
    <row r="320" spans="1:9" ht="10.5" customHeight="1" x14ac:dyDescent="0.15">
      <c r="A320" s="512"/>
      <c r="B320" s="521" t="s">
        <v>176</v>
      </c>
      <c r="C320" s="138" t="s">
        <v>181</v>
      </c>
      <c r="D320" s="147">
        <v>0</v>
      </c>
      <c r="E320" s="147">
        <v>0</v>
      </c>
      <c r="F320" s="147">
        <v>0</v>
      </c>
      <c r="G320" s="147">
        <v>0</v>
      </c>
      <c r="H320" s="291">
        <v>0</v>
      </c>
      <c r="I320" s="579">
        <f t="shared" si="8"/>
        <v>0</v>
      </c>
    </row>
    <row r="321" spans="1:10" ht="10.5" customHeight="1" x14ac:dyDescent="0.15">
      <c r="A321" s="512"/>
      <c r="B321" s="521" t="s">
        <v>177</v>
      </c>
      <c r="C321" s="138" t="s">
        <v>182</v>
      </c>
      <c r="D321" s="147">
        <v>0</v>
      </c>
      <c r="E321" s="147">
        <v>0</v>
      </c>
      <c r="F321" s="147">
        <v>0</v>
      </c>
      <c r="G321" s="147">
        <v>0</v>
      </c>
      <c r="H321" s="291">
        <v>0</v>
      </c>
      <c r="I321" s="579">
        <f t="shared" si="8"/>
        <v>0</v>
      </c>
    </row>
    <row r="322" spans="1:10" ht="10.5" customHeight="1" thickBot="1" x14ac:dyDescent="0.2">
      <c r="A322" s="512"/>
      <c r="B322" s="521" t="s">
        <v>632</v>
      </c>
      <c r="C322" s="138" t="s">
        <v>183</v>
      </c>
      <c r="D322" s="144">
        <v>0</v>
      </c>
      <c r="E322" s="144">
        <v>0</v>
      </c>
      <c r="F322" s="144">
        <v>0</v>
      </c>
      <c r="G322" s="144">
        <v>0</v>
      </c>
      <c r="H322" s="291">
        <v>0</v>
      </c>
      <c r="I322" s="579">
        <f t="shared" si="8"/>
        <v>0</v>
      </c>
    </row>
    <row r="323" spans="1:10" ht="10.5" customHeight="1" thickTop="1" thickBot="1" x14ac:dyDescent="0.2">
      <c r="A323" s="512"/>
      <c r="B323" s="521"/>
      <c r="C323" s="138" t="s">
        <v>661</v>
      </c>
      <c r="D323" s="169">
        <f>SUM(D294:D322)</f>
        <v>0</v>
      </c>
      <c r="E323" s="169">
        <f>SUM(E294:E322)</f>
        <v>0</v>
      </c>
      <c r="F323" s="169">
        <f>SUM(F294:F322)</f>
        <v>0</v>
      </c>
      <c r="G323" s="169">
        <f>SUM(G294:G322)</f>
        <v>0</v>
      </c>
      <c r="H323" s="169">
        <f>SUM(H294:H322)</f>
        <v>0</v>
      </c>
      <c r="I323" s="169">
        <f>G323+H323</f>
        <v>0</v>
      </c>
    </row>
    <row r="324" spans="1:10" ht="10.5" customHeight="1" thickTop="1" x14ac:dyDescent="0.15">
      <c r="A324" s="512"/>
      <c r="B324" s="521"/>
      <c r="C324" s="138"/>
      <c r="D324" s="14"/>
      <c r="E324" s="14"/>
      <c r="F324" s="14"/>
      <c r="G324" s="14"/>
      <c r="H324" s="198"/>
      <c r="I324" s="170"/>
    </row>
    <row r="325" spans="1:10" ht="10.5" customHeight="1" x14ac:dyDescent="0.15">
      <c r="A325" s="512" t="s">
        <v>662</v>
      </c>
      <c r="C325" s="138"/>
      <c r="D325" s="14"/>
      <c r="E325" s="14"/>
      <c r="F325" s="14"/>
      <c r="G325" s="14"/>
      <c r="H325" s="198"/>
      <c r="I325" s="170"/>
    </row>
    <row r="326" spans="1:10" s="434" customFormat="1" x14ac:dyDescent="0.15">
      <c r="B326" s="523" t="s">
        <v>1577</v>
      </c>
      <c r="C326" s="524" t="s">
        <v>228</v>
      </c>
      <c r="D326" s="316">
        <v>0</v>
      </c>
      <c r="E326" s="316">
        <v>0</v>
      </c>
      <c r="F326" s="316">
        <v>0</v>
      </c>
      <c r="G326" s="528">
        <f t="array" ref="G326">SUM(IF(CertFund&amp;CertProg&amp;CertObj=RIGHT(LEFT($A$2,7),2)&amp;LEFT(A325,4)&amp;B326,CertSalary))</f>
        <v>0</v>
      </c>
      <c r="H326" s="527">
        <v>0</v>
      </c>
      <c r="I326" s="566">
        <f>SUM(G326+H326)</f>
        <v>0</v>
      </c>
    </row>
    <row r="327" spans="1:10" s="434" customFormat="1" x14ac:dyDescent="0.15">
      <c r="B327" s="523" t="s">
        <v>1577</v>
      </c>
      <c r="C327" s="524" t="s">
        <v>510</v>
      </c>
      <c r="D327" s="316">
        <v>0</v>
      </c>
      <c r="E327" s="316">
        <v>0</v>
      </c>
      <c r="F327" s="316">
        <v>0</v>
      </c>
      <c r="G327" s="316">
        <v>0</v>
      </c>
      <c r="H327" s="527">
        <v>0</v>
      </c>
      <c r="I327" s="566">
        <f>SUM(G327+H327)</f>
        <v>0</v>
      </c>
    </row>
    <row r="328" spans="1:10" s="434" customFormat="1" x14ac:dyDescent="0.15">
      <c r="A328" s="524"/>
      <c r="B328" s="523" t="s">
        <v>1578</v>
      </c>
      <c r="C328" s="524" t="s">
        <v>936</v>
      </c>
      <c r="D328" s="316">
        <v>0</v>
      </c>
      <c r="E328" s="316">
        <v>0</v>
      </c>
      <c r="F328" s="316">
        <v>0</v>
      </c>
      <c r="G328" s="529">
        <f t="array" ref="G328">SUM(IF(CertFund&amp;CertProg&amp;CertObj=RIGHT(LEFT($A$2,7),2)&amp;LEFT(A325,4)&amp;B326,CertBen))</f>
        <v>0</v>
      </c>
      <c r="H328" s="527">
        <v>0</v>
      </c>
      <c r="I328" s="566">
        <f>SUM(G328+H328)</f>
        <v>0</v>
      </c>
    </row>
    <row r="329" spans="1:10" x14ac:dyDescent="0.15">
      <c r="A329" s="138"/>
      <c r="B329" s="521" t="s">
        <v>1578</v>
      </c>
      <c r="C329" s="138" t="s">
        <v>511</v>
      </c>
      <c r="D329" s="147">
        <v>0</v>
      </c>
      <c r="E329" s="147">
        <v>0</v>
      </c>
      <c r="F329" s="147">
        <v>0</v>
      </c>
      <c r="G329" s="147">
        <v>0</v>
      </c>
      <c r="H329" s="150">
        <v>0</v>
      </c>
      <c r="I329" s="567">
        <f>SUM(G329+H329)</f>
        <v>0</v>
      </c>
      <c r="J329" s="434"/>
    </row>
    <row r="330" spans="1:10" ht="10.5" customHeight="1" x14ac:dyDescent="0.15">
      <c r="A330" s="512"/>
      <c r="B330" s="521" t="s">
        <v>1579</v>
      </c>
      <c r="C330" s="138" t="s">
        <v>118</v>
      </c>
      <c r="D330" s="147">
        <v>0</v>
      </c>
      <c r="E330" s="147">
        <v>0</v>
      </c>
      <c r="F330" s="147">
        <v>0</v>
      </c>
      <c r="G330" s="147">
        <v>0</v>
      </c>
      <c r="H330" s="291">
        <v>0</v>
      </c>
      <c r="I330" s="579">
        <f t="shared" ref="I330:I352" si="9">SUM(G330+H330)</f>
        <v>0</v>
      </c>
    </row>
    <row r="331" spans="1:10" ht="10.5" customHeight="1" x14ac:dyDescent="0.15">
      <c r="A331" s="512"/>
      <c r="B331" s="521" t="s">
        <v>1580</v>
      </c>
      <c r="C331" s="138" t="s">
        <v>119</v>
      </c>
      <c r="D331" s="147">
        <v>0</v>
      </c>
      <c r="E331" s="147">
        <v>0</v>
      </c>
      <c r="F331" s="147">
        <v>0</v>
      </c>
      <c r="G331" s="147">
        <v>0</v>
      </c>
      <c r="H331" s="291">
        <v>0</v>
      </c>
      <c r="I331" s="579">
        <f t="shared" si="9"/>
        <v>0</v>
      </c>
    </row>
    <row r="332" spans="1:10" ht="10.5" customHeight="1" x14ac:dyDescent="0.15">
      <c r="A332" s="512"/>
      <c r="B332" s="521" t="s">
        <v>120</v>
      </c>
      <c r="C332" s="138" t="s">
        <v>121</v>
      </c>
      <c r="D332" s="147">
        <v>0</v>
      </c>
      <c r="E332" s="147">
        <v>0</v>
      </c>
      <c r="F332" s="147">
        <v>0</v>
      </c>
      <c r="G332" s="147">
        <v>0</v>
      </c>
      <c r="H332" s="291">
        <v>0</v>
      </c>
      <c r="I332" s="579">
        <f t="shared" si="9"/>
        <v>0</v>
      </c>
    </row>
    <row r="333" spans="1:10" ht="10.5" customHeight="1" x14ac:dyDescent="0.15">
      <c r="A333" s="512"/>
      <c r="B333" s="521" t="s">
        <v>122</v>
      </c>
      <c r="C333" s="138" t="s">
        <v>123</v>
      </c>
      <c r="D333" s="147">
        <v>0</v>
      </c>
      <c r="E333" s="147">
        <v>0</v>
      </c>
      <c r="F333" s="147">
        <v>0</v>
      </c>
      <c r="G333" s="147">
        <v>0</v>
      </c>
      <c r="H333" s="291">
        <v>0</v>
      </c>
      <c r="I333" s="579">
        <f t="shared" si="9"/>
        <v>0</v>
      </c>
    </row>
    <row r="334" spans="1:10" ht="10.5" customHeight="1" x14ac:dyDescent="0.15">
      <c r="A334" s="512"/>
      <c r="B334" s="521" t="s">
        <v>1581</v>
      </c>
      <c r="C334" s="138" t="s">
        <v>124</v>
      </c>
      <c r="D334" s="147">
        <v>0</v>
      </c>
      <c r="E334" s="147">
        <v>0</v>
      </c>
      <c r="F334" s="147">
        <v>0</v>
      </c>
      <c r="G334" s="147">
        <v>0</v>
      </c>
      <c r="H334" s="291">
        <v>0</v>
      </c>
      <c r="I334" s="579">
        <f t="shared" si="9"/>
        <v>0</v>
      </c>
    </row>
    <row r="335" spans="1:10" ht="10.5" customHeight="1" x14ac:dyDescent="0.15">
      <c r="A335" s="512"/>
      <c r="B335" s="521" t="s">
        <v>1624</v>
      </c>
      <c r="C335" s="138" t="s">
        <v>840</v>
      </c>
      <c r="D335" s="147">
        <v>0</v>
      </c>
      <c r="E335" s="147">
        <v>0</v>
      </c>
      <c r="F335" s="147">
        <v>0</v>
      </c>
      <c r="G335" s="147">
        <v>0</v>
      </c>
      <c r="H335" s="291">
        <v>0</v>
      </c>
      <c r="I335" s="579">
        <f t="shared" si="9"/>
        <v>0</v>
      </c>
    </row>
    <row r="336" spans="1:10" ht="10.5" customHeight="1" x14ac:dyDescent="0.15">
      <c r="A336" s="512"/>
      <c r="B336" s="521" t="s">
        <v>1625</v>
      </c>
      <c r="C336" s="138" t="s">
        <v>842</v>
      </c>
      <c r="D336" s="147">
        <v>0</v>
      </c>
      <c r="E336" s="147">
        <v>0</v>
      </c>
      <c r="F336" s="147">
        <v>0</v>
      </c>
      <c r="G336" s="147">
        <v>0</v>
      </c>
      <c r="H336" s="291">
        <v>0</v>
      </c>
      <c r="I336" s="579">
        <f t="shared" si="9"/>
        <v>0</v>
      </c>
    </row>
    <row r="337" spans="1:9" ht="10.5" customHeight="1" x14ac:dyDescent="0.15">
      <c r="A337" s="512"/>
      <c r="B337" s="521" t="s">
        <v>843</v>
      </c>
      <c r="C337" s="138" t="s">
        <v>848</v>
      </c>
      <c r="D337" s="147">
        <v>0</v>
      </c>
      <c r="E337" s="147">
        <v>0</v>
      </c>
      <c r="F337" s="147">
        <v>0</v>
      </c>
      <c r="G337" s="147">
        <v>0</v>
      </c>
      <c r="H337" s="291">
        <v>0</v>
      </c>
      <c r="I337" s="579">
        <f t="shared" si="9"/>
        <v>0</v>
      </c>
    </row>
    <row r="338" spans="1:9" ht="10.5" customHeight="1" x14ac:dyDescent="0.15">
      <c r="A338" s="512"/>
      <c r="B338" s="521" t="s">
        <v>844</v>
      </c>
      <c r="C338" s="138" t="s">
        <v>186</v>
      </c>
      <c r="D338" s="147">
        <v>0</v>
      </c>
      <c r="E338" s="147">
        <v>0</v>
      </c>
      <c r="F338" s="147">
        <v>0</v>
      </c>
      <c r="G338" s="147">
        <v>0</v>
      </c>
      <c r="H338" s="291">
        <v>0</v>
      </c>
      <c r="I338" s="579">
        <f t="shared" si="9"/>
        <v>0</v>
      </c>
    </row>
    <row r="339" spans="1:9" ht="10.5" customHeight="1" x14ac:dyDescent="0.15">
      <c r="A339" s="512"/>
      <c r="B339" s="521" t="s">
        <v>845</v>
      </c>
      <c r="C339" s="138" t="s">
        <v>154</v>
      </c>
      <c r="D339" s="147">
        <v>0</v>
      </c>
      <c r="E339" s="147">
        <v>0</v>
      </c>
      <c r="F339" s="147">
        <v>0</v>
      </c>
      <c r="G339" s="147">
        <v>0</v>
      </c>
      <c r="H339" s="291">
        <v>0</v>
      </c>
      <c r="I339" s="579">
        <f t="shared" si="9"/>
        <v>0</v>
      </c>
    </row>
    <row r="340" spans="1:9" ht="10.5" customHeight="1" x14ac:dyDescent="0.15">
      <c r="A340" s="512"/>
      <c r="B340" s="521" t="s">
        <v>846</v>
      </c>
      <c r="C340" s="138" t="s">
        <v>155</v>
      </c>
      <c r="D340" s="147">
        <v>0</v>
      </c>
      <c r="E340" s="147">
        <v>0</v>
      </c>
      <c r="F340" s="147">
        <v>0</v>
      </c>
      <c r="G340" s="147">
        <v>0</v>
      </c>
      <c r="H340" s="291">
        <v>0</v>
      </c>
      <c r="I340" s="579">
        <f t="shared" si="9"/>
        <v>0</v>
      </c>
    </row>
    <row r="341" spans="1:9" ht="10.5" customHeight="1" x14ac:dyDescent="0.15">
      <c r="A341" s="512"/>
      <c r="B341" s="521" t="s">
        <v>1582</v>
      </c>
      <c r="C341" s="138" t="s">
        <v>156</v>
      </c>
      <c r="D341" s="147">
        <v>0</v>
      </c>
      <c r="E341" s="147">
        <v>0</v>
      </c>
      <c r="F341" s="147">
        <v>0</v>
      </c>
      <c r="G341" s="147">
        <v>0</v>
      </c>
      <c r="H341" s="291">
        <v>0</v>
      </c>
      <c r="I341" s="579">
        <f t="shared" si="9"/>
        <v>0</v>
      </c>
    </row>
    <row r="342" spans="1:9" ht="10.5" customHeight="1" x14ac:dyDescent="0.15">
      <c r="A342" s="512"/>
      <c r="B342" s="521" t="s">
        <v>847</v>
      </c>
      <c r="C342" s="138" t="s">
        <v>157</v>
      </c>
      <c r="D342" s="147">
        <v>0</v>
      </c>
      <c r="E342" s="147">
        <v>0</v>
      </c>
      <c r="F342" s="147">
        <v>0</v>
      </c>
      <c r="G342" s="147">
        <v>0</v>
      </c>
      <c r="H342" s="291">
        <v>0</v>
      </c>
      <c r="I342" s="579">
        <f t="shared" si="9"/>
        <v>0</v>
      </c>
    </row>
    <row r="343" spans="1:9" ht="10.5" customHeight="1" x14ac:dyDescent="0.15">
      <c r="A343" s="512"/>
      <c r="B343" s="521" t="s">
        <v>1583</v>
      </c>
      <c r="C343" s="138" t="s">
        <v>160</v>
      </c>
      <c r="D343" s="147">
        <v>0</v>
      </c>
      <c r="E343" s="147">
        <v>0</v>
      </c>
      <c r="F343" s="147">
        <v>0</v>
      </c>
      <c r="G343" s="147">
        <v>0</v>
      </c>
      <c r="H343" s="291">
        <v>0</v>
      </c>
      <c r="I343" s="579">
        <f t="shared" si="9"/>
        <v>0</v>
      </c>
    </row>
    <row r="344" spans="1:9" ht="10.5" customHeight="1" x14ac:dyDescent="0.15">
      <c r="A344" s="512"/>
      <c r="B344" s="521" t="s">
        <v>634</v>
      </c>
      <c r="C344" s="138" t="s">
        <v>165</v>
      </c>
      <c r="D344" s="147">
        <v>0</v>
      </c>
      <c r="E344" s="147">
        <v>0</v>
      </c>
      <c r="F344" s="147">
        <v>0</v>
      </c>
      <c r="G344" s="147">
        <v>0</v>
      </c>
      <c r="H344" s="291">
        <v>0</v>
      </c>
      <c r="I344" s="579">
        <f t="shared" si="9"/>
        <v>0</v>
      </c>
    </row>
    <row r="345" spans="1:9" ht="10.5" customHeight="1" x14ac:dyDescent="0.15">
      <c r="A345" s="512"/>
      <c r="B345" s="521" t="s">
        <v>630</v>
      </c>
      <c r="C345" s="138" t="s">
        <v>172</v>
      </c>
      <c r="D345" s="147">
        <v>0</v>
      </c>
      <c r="E345" s="147">
        <v>0</v>
      </c>
      <c r="F345" s="147">
        <v>0</v>
      </c>
      <c r="G345" s="147">
        <v>0</v>
      </c>
      <c r="H345" s="291">
        <v>0</v>
      </c>
      <c r="I345" s="579">
        <f t="shared" si="9"/>
        <v>0</v>
      </c>
    </row>
    <row r="346" spans="1:9" ht="10.5" customHeight="1" x14ac:dyDescent="0.15">
      <c r="A346" s="512"/>
      <c r="B346" s="650" t="s">
        <v>631</v>
      </c>
      <c r="C346" s="651" t="s">
        <v>173</v>
      </c>
      <c r="D346" s="147">
        <v>0</v>
      </c>
      <c r="E346" s="147">
        <v>0</v>
      </c>
      <c r="F346" s="147">
        <v>0</v>
      </c>
      <c r="G346" s="147">
        <v>0</v>
      </c>
      <c r="H346" s="291">
        <v>0</v>
      </c>
      <c r="I346" s="579">
        <f t="shared" si="9"/>
        <v>0</v>
      </c>
    </row>
    <row r="347" spans="1:9" ht="10.5" customHeight="1" x14ac:dyDescent="0.15">
      <c r="A347" s="512"/>
      <c r="B347" s="521" t="s">
        <v>1584</v>
      </c>
      <c r="C347" s="138" t="s">
        <v>178</v>
      </c>
      <c r="D347" s="147">
        <v>0</v>
      </c>
      <c r="E347" s="147">
        <v>0</v>
      </c>
      <c r="F347" s="147">
        <v>0</v>
      </c>
      <c r="G347" s="147">
        <v>0</v>
      </c>
      <c r="H347" s="291">
        <v>0</v>
      </c>
      <c r="I347" s="579">
        <f t="shared" si="9"/>
        <v>0</v>
      </c>
    </row>
    <row r="348" spans="1:9" ht="10.5" customHeight="1" x14ac:dyDescent="0.15">
      <c r="A348" s="512"/>
      <c r="B348" s="521" t="s">
        <v>174</v>
      </c>
      <c r="C348" s="138" t="s">
        <v>179</v>
      </c>
      <c r="D348" s="147">
        <v>0</v>
      </c>
      <c r="E348" s="147">
        <v>0</v>
      </c>
      <c r="F348" s="147">
        <v>0</v>
      </c>
      <c r="G348" s="147">
        <v>0</v>
      </c>
      <c r="H348" s="291">
        <v>0</v>
      </c>
      <c r="I348" s="579">
        <f t="shared" si="9"/>
        <v>0</v>
      </c>
    </row>
    <row r="349" spans="1:9" ht="10.5" customHeight="1" x14ac:dyDescent="0.15">
      <c r="A349" s="512"/>
      <c r="B349" s="521" t="s">
        <v>175</v>
      </c>
      <c r="C349" s="138" t="s">
        <v>180</v>
      </c>
      <c r="D349" s="147">
        <v>0</v>
      </c>
      <c r="E349" s="147">
        <v>0</v>
      </c>
      <c r="F349" s="147">
        <v>0</v>
      </c>
      <c r="G349" s="147">
        <v>0</v>
      </c>
      <c r="H349" s="291">
        <v>0</v>
      </c>
      <c r="I349" s="579">
        <f t="shared" si="9"/>
        <v>0</v>
      </c>
    </row>
    <row r="350" spans="1:9" ht="10.5" customHeight="1" x14ac:dyDescent="0.15">
      <c r="A350" s="512"/>
      <c r="B350" s="521" t="s">
        <v>176</v>
      </c>
      <c r="C350" s="138" t="s">
        <v>181</v>
      </c>
      <c r="D350" s="147">
        <v>0</v>
      </c>
      <c r="E350" s="147">
        <v>0</v>
      </c>
      <c r="F350" s="147">
        <v>0</v>
      </c>
      <c r="G350" s="147">
        <v>0</v>
      </c>
      <c r="H350" s="291">
        <v>0</v>
      </c>
      <c r="I350" s="579">
        <f t="shared" si="9"/>
        <v>0</v>
      </c>
    </row>
    <row r="351" spans="1:9" ht="10.5" customHeight="1" x14ac:dyDescent="0.15">
      <c r="A351" s="512"/>
      <c r="B351" s="521" t="s">
        <v>177</v>
      </c>
      <c r="C351" s="138" t="s">
        <v>182</v>
      </c>
      <c r="D351" s="147">
        <v>0</v>
      </c>
      <c r="E351" s="147">
        <v>0</v>
      </c>
      <c r="F351" s="147">
        <v>0</v>
      </c>
      <c r="G351" s="147">
        <v>0</v>
      </c>
      <c r="H351" s="291">
        <v>0</v>
      </c>
      <c r="I351" s="579">
        <f t="shared" si="9"/>
        <v>0</v>
      </c>
    </row>
    <row r="352" spans="1:9" ht="10.5" customHeight="1" thickBot="1" x14ac:dyDescent="0.2">
      <c r="A352" s="512"/>
      <c r="B352" s="521" t="s">
        <v>632</v>
      </c>
      <c r="C352" s="138" t="s">
        <v>183</v>
      </c>
      <c r="D352" s="144">
        <v>0</v>
      </c>
      <c r="E352" s="144">
        <v>0</v>
      </c>
      <c r="F352" s="144">
        <v>0</v>
      </c>
      <c r="G352" s="144">
        <v>0</v>
      </c>
      <c r="H352" s="291">
        <v>0</v>
      </c>
      <c r="I352" s="579">
        <f t="shared" si="9"/>
        <v>0</v>
      </c>
    </row>
    <row r="353" spans="1:10" ht="10.5" customHeight="1" thickTop="1" thickBot="1" x14ac:dyDescent="0.2">
      <c r="A353" s="512"/>
      <c r="B353" s="521"/>
      <c r="C353" s="138" t="s">
        <v>663</v>
      </c>
      <c r="D353" s="169">
        <f>SUM(D326:D352)</f>
        <v>0</v>
      </c>
      <c r="E353" s="169">
        <f>SUM(E326:E352)</f>
        <v>0</v>
      </c>
      <c r="F353" s="169">
        <f>SUM(F326:F352)</f>
        <v>0</v>
      </c>
      <c r="G353" s="169">
        <f>SUM(G326:G352)</f>
        <v>0</v>
      </c>
      <c r="H353" s="169">
        <f>SUM(H326:H352)</f>
        <v>0</v>
      </c>
      <c r="I353" s="169">
        <f>G353+H353</f>
        <v>0</v>
      </c>
    </row>
    <row r="354" spans="1:10" ht="10.5" customHeight="1" thickTop="1" x14ac:dyDescent="0.15">
      <c r="A354" s="512"/>
      <c r="B354" s="521"/>
      <c r="C354" s="138"/>
      <c r="D354" s="14"/>
      <c r="E354" s="14"/>
      <c r="F354" s="14"/>
      <c r="G354" s="14"/>
      <c r="H354" s="14"/>
      <c r="I354" s="563"/>
    </row>
    <row r="355" spans="1:10" ht="10.5" customHeight="1" x14ac:dyDescent="0.15">
      <c r="A355" s="512" t="s">
        <v>664</v>
      </c>
      <c r="C355" s="138"/>
      <c r="D355" s="14"/>
      <c r="E355" s="14"/>
      <c r="F355" s="14"/>
      <c r="G355" s="14"/>
      <c r="H355" s="198"/>
      <c r="I355" s="170"/>
    </row>
    <row r="356" spans="1:10" s="434" customFormat="1" x14ac:dyDescent="0.15">
      <c r="B356" s="523" t="s">
        <v>1577</v>
      </c>
      <c r="C356" s="524" t="s">
        <v>228</v>
      </c>
      <c r="D356" s="316">
        <v>0</v>
      </c>
      <c r="E356" s="316">
        <v>0</v>
      </c>
      <c r="F356" s="316">
        <v>0</v>
      </c>
      <c r="G356" s="528">
        <f t="array" ref="G356">SUM(IF(CertFund&amp;CertProg&amp;CertObj=RIGHT(LEFT($A$2,7),2)&amp;LEFT(A355,4)&amp;B356,CertSalary))</f>
        <v>0</v>
      </c>
      <c r="H356" s="527">
        <v>0</v>
      </c>
      <c r="I356" s="566">
        <f>SUM(G356+H356)</f>
        <v>0</v>
      </c>
    </row>
    <row r="357" spans="1:10" s="434" customFormat="1" x14ac:dyDescent="0.15">
      <c r="B357" s="523" t="s">
        <v>1577</v>
      </c>
      <c r="C357" s="524" t="s">
        <v>510</v>
      </c>
      <c r="D357" s="316">
        <v>0</v>
      </c>
      <c r="E357" s="316">
        <v>0</v>
      </c>
      <c r="F357" s="316">
        <v>0</v>
      </c>
      <c r="G357" s="316">
        <v>0</v>
      </c>
      <c r="H357" s="527">
        <v>0</v>
      </c>
      <c r="I357" s="566">
        <f>SUM(G357+H357)</f>
        <v>0</v>
      </c>
    </row>
    <row r="358" spans="1:10" s="434" customFormat="1" x14ac:dyDescent="0.15">
      <c r="A358" s="524"/>
      <c r="B358" s="523" t="s">
        <v>1578</v>
      </c>
      <c r="C358" s="524" t="s">
        <v>936</v>
      </c>
      <c r="D358" s="316">
        <v>0</v>
      </c>
      <c r="E358" s="316">
        <v>0</v>
      </c>
      <c r="F358" s="316">
        <v>0</v>
      </c>
      <c r="G358" s="529">
        <f t="array" ref="G358">SUM(IF(CertFund&amp;CertProg&amp;CertObj=RIGHT(LEFT($A$2,7),2)&amp;LEFT(A355,4)&amp;B356,CertBen))</f>
        <v>0</v>
      </c>
      <c r="H358" s="527">
        <v>0</v>
      </c>
      <c r="I358" s="566">
        <f>SUM(G358+H358)</f>
        <v>0</v>
      </c>
    </row>
    <row r="359" spans="1:10" x14ac:dyDescent="0.15">
      <c r="A359" s="138"/>
      <c r="B359" s="521" t="s">
        <v>1578</v>
      </c>
      <c r="C359" s="138" t="s">
        <v>511</v>
      </c>
      <c r="D359" s="147">
        <v>0</v>
      </c>
      <c r="E359" s="147">
        <v>0</v>
      </c>
      <c r="F359" s="147">
        <v>0</v>
      </c>
      <c r="G359" s="147">
        <v>0</v>
      </c>
      <c r="H359" s="150">
        <v>0</v>
      </c>
      <c r="I359" s="567">
        <f>SUM(G359+H359)</f>
        <v>0</v>
      </c>
      <c r="J359" s="434"/>
    </row>
    <row r="360" spans="1:10" ht="10.5" customHeight="1" x14ac:dyDescent="0.15">
      <c r="A360" s="512"/>
      <c r="B360" s="521" t="s">
        <v>1579</v>
      </c>
      <c r="C360" s="138" t="s">
        <v>118</v>
      </c>
      <c r="D360" s="147">
        <v>0</v>
      </c>
      <c r="E360" s="147">
        <v>0</v>
      </c>
      <c r="F360" s="147">
        <v>0</v>
      </c>
      <c r="G360" s="147">
        <v>0</v>
      </c>
      <c r="H360" s="291">
        <v>0</v>
      </c>
      <c r="I360" s="579">
        <f t="shared" ref="I360:I382" si="10">SUM(G360+H360)</f>
        <v>0</v>
      </c>
    </row>
    <row r="361" spans="1:10" ht="10.5" customHeight="1" x14ac:dyDescent="0.15">
      <c r="A361" s="512"/>
      <c r="B361" s="521" t="s">
        <v>1580</v>
      </c>
      <c r="C361" s="138" t="s">
        <v>119</v>
      </c>
      <c r="D361" s="147">
        <v>0</v>
      </c>
      <c r="E361" s="147">
        <v>0</v>
      </c>
      <c r="F361" s="147">
        <v>0</v>
      </c>
      <c r="G361" s="147">
        <v>0</v>
      </c>
      <c r="H361" s="291">
        <v>0</v>
      </c>
      <c r="I361" s="579">
        <f t="shared" si="10"/>
        <v>0</v>
      </c>
    </row>
    <row r="362" spans="1:10" ht="10.5" customHeight="1" x14ac:dyDescent="0.15">
      <c r="A362" s="512"/>
      <c r="B362" s="521" t="s">
        <v>120</v>
      </c>
      <c r="C362" s="138" t="s">
        <v>121</v>
      </c>
      <c r="D362" s="147">
        <v>0</v>
      </c>
      <c r="E362" s="147">
        <v>0</v>
      </c>
      <c r="F362" s="147">
        <v>0</v>
      </c>
      <c r="G362" s="147">
        <v>0</v>
      </c>
      <c r="H362" s="291">
        <v>0</v>
      </c>
      <c r="I362" s="579">
        <f t="shared" si="10"/>
        <v>0</v>
      </c>
    </row>
    <row r="363" spans="1:10" ht="10.5" customHeight="1" x14ac:dyDescent="0.15">
      <c r="A363" s="512"/>
      <c r="B363" s="521" t="s">
        <v>122</v>
      </c>
      <c r="C363" s="138" t="s">
        <v>123</v>
      </c>
      <c r="D363" s="147">
        <v>0</v>
      </c>
      <c r="E363" s="147">
        <v>0</v>
      </c>
      <c r="F363" s="147">
        <v>0</v>
      </c>
      <c r="G363" s="147">
        <v>0</v>
      </c>
      <c r="H363" s="291">
        <v>0</v>
      </c>
      <c r="I363" s="579">
        <f t="shared" si="10"/>
        <v>0</v>
      </c>
    </row>
    <row r="364" spans="1:10" ht="10.5" customHeight="1" x14ac:dyDescent="0.15">
      <c r="A364" s="512"/>
      <c r="B364" s="521" t="s">
        <v>1581</v>
      </c>
      <c r="C364" s="138" t="s">
        <v>124</v>
      </c>
      <c r="D364" s="147">
        <v>0</v>
      </c>
      <c r="E364" s="147">
        <v>0</v>
      </c>
      <c r="F364" s="147">
        <v>0</v>
      </c>
      <c r="G364" s="147">
        <v>0</v>
      </c>
      <c r="H364" s="291">
        <v>0</v>
      </c>
      <c r="I364" s="579">
        <f t="shared" si="10"/>
        <v>0</v>
      </c>
    </row>
    <row r="365" spans="1:10" ht="10.5" customHeight="1" x14ac:dyDescent="0.15">
      <c r="A365" s="512"/>
      <c r="B365" s="521" t="s">
        <v>1624</v>
      </c>
      <c r="C365" s="138" t="s">
        <v>840</v>
      </c>
      <c r="D365" s="147">
        <v>0</v>
      </c>
      <c r="E365" s="147">
        <v>0</v>
      </c>
      <c r="F365" s="147">
        <v>0</v>
      </c>
      <c r="G365" s="147">
        <v>0</v>
      </c>
      <c r="H365" s="291">
        <v>0</v>
      </c>
      <c r="I365" s="579">
        <f t="shared" si="10"/>
        <v>0</v>
      </c>
    </row>
    <row r="366" spans="1:10" ht="10.5" customHeight="1" x14ac:dyDescent="0.15">
      <c r="A366" s="512"/>
      <c r="B366" s="521" t="s">
        <v>1625</v>
      </c>
      <c r="C366" s="138" t="s">
        <v>842</v>
      </c>
      <c r="D366" s="147">
        <v>0</v>
      </c>
      <c r="E366" s="147">
        <v>0</v>
      </c>
      <c r="F366" s="147">
        <v>0</v>
      </c>
      <c r="G366" s="147">
        <v>0</v>
      </c>
      <c r="H366" s="291">
        <v>0</v>
      </c>
      <c r="I366" s="579">
        <f t="shared" si="10"/>
        <v>0</v>
      </c>
    </row>
    <row r="367" spans="1:10" ht="10.5" customHeight="1" x14ac:dyDescent="0.15">
      <c r="A367" s="512"/>
      <c r="B367" s="521" t="s">
        <v>843</v>
      </c>
      <c r="C367" s="138" t="s">
        <v>848</v>
      </c>
      <c r="D367" s="147">
        <v>0</v>
      </c>
      <c r="E367" s="147">
        <v>0</v>
      </c>
      <c r="F367" s="147">
        <v>0</v>
      </c>
      <c r="G367" s="147">
        <v>0</v>
      </c>
      <c r="H367" s="291">
        <v>0</v>
      </c>
      <c r="I367" s="579">
        <f t="shared" si="10"/>
        <v>0</v>
      </c>
    </row>
    <row r="368" spans="1:10" ht="10.5" customHeight="1" x14ac:dyDescent="0.15">
      <c r="A368" s="512"/>
      <c r="B368" s="521" t="s">
        <v>844</v>
      </c>
      <c r="C368" s="138" t="s">
        <v>186</v>
      </c>
      <c r="D368" s="147">
        <v>0</v>
      </c>
      <c r="E368" s="147">
        <v>0</v>
      </c>
      <c r="F368" s="147">
        <v>0</v>
      </c>
      <c r="G368" s="147">
        <v>0</v>
      </c>
      <c r="H368" s="291">
        <v>0</v>
      </c>
      <c r="I368" s="579">
        <f t="shared" si="10"/>
        <v>0</v>
      </c>
    </row>
    <row r="369" spans="1:9" ht="10.5" customHeight="1" x14ac:dyDescent="0.15">
      <c r="A369" s="512"/>
      <c r="B369" s="521" t="s">
        <v>845</v>
      </c>
      <c r="C369" s="138" t="s">
        <v>154</v>
      </c>
      <c r="D369" s="147">
        <v>0</v>
      </c>
      <c r="E369" s="147">
        <v>0</v>
      </c>
      <c r="F369" s="147">
        <v>0</v>
      </c>
      <c r="G369" s="147">
        <v>0</v>
      </c>
      <c r="H369" s="291">
        <v>0</v>
      </c>
      <c r="I369" s="579">
        <f t="shared" si="10"/>
        <v>0</v>
      </c>
    </row>
    <row r="370" spans="1:9" ht="10.5" customHeight="1" x14ac:dyDescent="0.15">
      <c r="A370" s="512"/>
      <c r="B370" s="521" t="s">
        <v>846</v>
      </c>
      <c r="C370" s="138" t="s">
        <v>155</v>
      </c>
      <c r="D370" s="147">
        <v>0</v>
      </c>
      <c r="E370" s="147">
        <v>0</v>
      </c>
      <c r="F370" s="147">
        <v>0</v>
      </c>
      <c r="G370" s="147">
        <v>0</v>
      </c>
      <c r="H370" s="291">
        <v>0</v>
      </c>
      <c r="I370" s="579">
        <f t="shared" si="10"/>
        <v>0</v>
      </c>
    </row>
    <row r="371" spans="1:9" ht="10.5" customHeight="1" x14ac:dyDescent="0.15">
      <c r="A371" s="512"/>
      <c r="B371" s="521" t="s">
        <v>1582</v>
      </c>
      <c r="C371" s="138" t="s">
        <v>156</v>
      </c>
      <c r="D371" s="147">
        <v>0</v>
      </c>
      <c r="E371" s="147">
        <v>0</v>
      </c>
      <c r="F371" s="147">
        <v>0</v>
      </c>
      <c r="G371" s="147">
        <v>0</v>
      </c>
      <c r="H371" s="291">
        <v>0</v>
      </c>
      <c r="I371" s="579">
        <f t="shared" si="10"/>
        <v>0</v>
      </c>
    </row>
    <row r="372" spans="1:9" ht="10.5" customHeight="1" x14ac:dyDescent="0.15">
      <c r="A372" s="512"/>
      <c r="B372" s="521" t="s">
        <v>665</v>
      </c>
      <c r="C372" s="138" t="s">
        <v>1362</v>
      </c>
      <c r="D372" s="147">
        <v>0</v>
      </c>
      <c r="E372" s="147">
        <v>0</v>
      </c>
      <c r="F372" s="147">
        <v>0</v>
      </c>
      <c r="G372" s="147">
        <v>0</v>
      </c>
      <c r="H372" s="291">
        <v>0</v>
      </c>
      <c r="I372" s="579">
        <f t="shared" si="10"/>
        <v>0</v>
      </c>
    </row>
    <row r="373" spans="1:9" ht="10.5" customHeight="1" x14ac:dyDescent="0.15">
      <c r="A373" s="512"/>
      <c r="B373" s="521" t="s">
        <v>847</v>
      </c>
      <c r="C373" s="138" t="s">
        <v>157</v>
      </c>
      <c r="D373" s="147">
        <v>0</v>
      </c>
      <c r="E373" s="147">
        <v>0</v>
      </c>
      <c r="F373" s="147">
        <v>0</v>
      </c>
      <c r="G373" s="147">
        <v>0</v>
      </c>
      <c r="H373" s="291">
        <v>0</v>
      </c>
      <c r="I373" s="579">
        <f t="shared" si="10"/>
        <v>0</v>
      </c>
    </row>
    <row r="374" spans="1:9" ht="10.5" customHeight="1" x14ac:dyDescent="0.15">
      <c r="A374" s="512"/>
      <c r="B374" s="521" t="s">
        <v>1583</v>
      </c>
      <c r="C374" s="138" t="s">
        <v>160</v>
      </c>
      <c r="D374" s="147">
        <v>0</v>
      </c>
      <c r="E374" s="147">
        <v>0</v>
      </c>
      <c r="F374" s="147">
        <v>0</v>
      </c>
      <c r="G374" s="147">
        <v>0</v>
      </c>
      <c r="H374" s="291">
        <v>0</v>
      </c>
      <c r="I374" s="579">
        <f t="shared" si="10"/>
        <v>0</v>
      </c>
    </row>
    <row r="375" spans="1:9" ht="10.5" customHeight="1" x14ac:dyDescent="0.15">
      <c r="A375" s="512"/>
      <c r="B375" s="521" t="s">
        <v>634</v>
      </c>
      <c r="C375" s="138" t="s">
        <v>165</v>
      </c>
      <c r="D375" s="147">
        <v>0</v>
      </c>
      <c r="E375" s="147">
        <v>0</v>
      </c>
      <c r="F375" s="147">
        <v>0</v>
      </c>
      <c r="G375" s="147">
        <v>0</v>
      </c>
      <c r="H375" s="291">
        <v>0</v>
      </c>
      <c r="I375" s="579">
        <f t="shared" si="10"/>
        <v>0</v>
      </c>
    </row>
    <row r="376" spans="1:9" ht="10.5" customHeight="1" x14ac:dyDescent="0.15">
      <c r="A376" s="512"/>
      <c r="B376" s="521" t="s">
        <v>630</v>
      </c>
      <c r="C376" s="138" t="s">
        <v>172</v>
      </c>
      <c r="D376" s="147">
        <v>0</v>
      </c>
      <c r="E376" s="147">
        <v>0</v>
      </c>
      <c r="F376" s="147">
        <v>0</v>
      </c>
      <c r="G376" s="147">
        <v>0</v>
      </c>
      <c r="H376" s="291">
        <v>0</v>
      </c>
      <c r="I376" s="579">
        <f t="shared" si="10"/>
        <v>0</v>
      </c>
    </row>
    <row r="377" spans="1:9" ht="10.5" customHeight="1" x14ac:dyDescent="0.15">
      <c r="A377" s="512"/>
      <c r="B377" s="650" t="s">
        <v>631</v>
      </c>
      <c r="C377" s="651" t="s">
        <v>173</v>
      </c>
      <c r="D377" s="147">
        <v>0</v>
      </c>
      <c r="E377" s="147">
        <v>0</v>
      </c>
      <c r="F377" s="147">
        <v>0</v>
      </c>
      <c r="G377" s="147">
        <v>0</v>
      </c>
      <c r="H377" s="291">
        <v>0</v>
      </c>
      <c r="I377" s="579">
        <f t="shared" si="10"/>
        <v>0</v>
      </c>
    </row>
    <row r="378" spans="1:9" ht="10.5" customHeight="1" x14ac:dyDescent="0.15">
      <c r="A378" s="512"/>
      <c r="B378" s="521" t="s">
        <v>1584</v>
      </c>
      <c r="C378" s="138" t="s">
        <v>178</v>
      </c>
      <c r="D378" s="147">
        <v>0</v>
      </c>
      <c r="E378" s="147">
        <v>0</v>
      </c>
      <c r="F378" s="147">
        <v>0</v>
      </c>
      <c r="G378" s="147">
        <v>0</v>
      </c>
      <c r="H378" s="291">
        <v>0</v>
      </c>
      <c r="I378" s="579">
        <f t="shared" si="10"/>
        <v>0</v>
      </c>
    </row>
    <row r="379" spans="1:9" ht="10.5" customHeight="1" x14ac:dyDescent="0.15">
      <c r="A379" s="512"/>
      <c r="B379" s="521" t="s">
        <v>174</v>
      </c>
      <c r="C379" s="138" t="s">
        <v>179</v>
      </c>
      <c r="D379" s="147">
        <v>0</v>
      </c>
      <c r="E379" s="147">
        <v>0</v>
      </c>
      <c r="F379" s="147">
        <v>0</v>
      </c>
      <c r="G379" s="147">
        <v>0</v>
      </c>
      <c r="H379" s="291">
        <v>0</v>
      </c>
      <c r="I379" s="579">
        <f t="shared" si="10"/>
        <v>0</v>
      </c>
    </row>
    <row r="380" spans="1:9" ht="10.5" customHeight="1" x14ac:dyDescent="0.15">
      <c r="A380" s="512"/>
      <c r="B380" s="521" t="s">
        <v>175</v>
      </c>
      <c r="C380" s="138" t="s">
        <v>180</v>
      </c>
      <c r="D380" s="147">
        <v>0</v>
      </c>
      <c r="E380" s="147">
        <v>0</v>
      </c>
      <c r="F380" s="147">
        <v>0</v>
      </c>
      <c r="G380" s="147">
        <v>0</v>
      </c>
      <c r="H380" s="291">
        <v>0</v>
      </c>
      <c r="I380" s="579">
        <f t="shared" si="10"/>
        <v>0</v>
      </c>
    </row>
    <row r="381" spans="1:9" ht="10.5" customHeight="1" x14ac:dyDescent="0.15">
      <c r="A381" s="512"/>
      <c r="B381" s="521" t="s">
        <v>176</v>
      </c>
      <c r="C381" s="138" t="s">
        <v>181</v>
      </c>
      <c r="D381" s="147">
        <v>0</v>
      </c>
      <c r="E381" s="147">
        <v>0</v>
      </c>
      <c r="F381" s="147">
        <v>0</v>
      </c>
      <c r="G381" s="147">
        <v>0</v>
      </c>
      <c r="H381" s="291">
        <v>0</v>
      </c>
      <c r="I381" s="579">
        <f t="shared" si="10"/>
        <v>0</v>
      </c>
    </row>
    <row r="382" spans="1:9" ht="10.5" customHeight="1" x14ac:dyDescent="0.15">
      <c r="A382" s="512"/>
      <c r="B382" s="521" t="s">
        <v>177</v>
      </c>
      <c r="C382" s="138" t="s">
        <v>182</v>
      </c>
      <c r="D382" s="147">
        <v>0</v>
      </c>
      <c r="E382" s="147">
        <v>0</v>
      </c>
      <c r="F382" s="147">
        <v>0</v>
      </c>
      <c r="G382" s="147">
        <v>0</v>
      </c>
      <c r="H382" s="291">
        <v>0</v>
      </c>
      <c r="I382" s="579">
        <f t="shared" si="10"/>
        <v>0</v>
      </c>
    </row>
    <row r="383" spans="1:9" ht="10.5" customHeight="1" thickBot="1" x14ac:dyDescent="0.2">
      <c r="A383" s="512"/>
      <c r="B383" s="521" t="s">
        <v>632</v>
      </c>
      <c r="C383" s="138" t="s">
        <v>183</v>
      </c>
      <c r="D383" s="144">
        <v>0</v>
      </c>
      <c r="E383" s="144">
        <v>0</v>
      </c>
      <c r="F383" s="144">
        <v>0</v>
      </c>
      <c r="G383" s="144">
        <v>0</v>
      </c>
      <c r="H383" s="291">
        <v>0</v>
      </c>
      <c r="I383" s="579">
        <f>SUM(G383+H383)</f>
        <v>0</v>
      </c>
    </row>
    <row r="384" spans="1:9" ht="10.5" customHeight="1" thickTop="1" thickBot="1" x14ac:dyDescent="0.2">
      <c r="A384" s="512"/>
      <c r="B384" s="521"/>
      <c r="C384" s="138" t="s">
        <v>666</v>
      </c>
      <c r="D384" s="169">
        <f>SUM(D356:D383)</f>
        <v>0</v>
      </c>
      <c r="E384" s="169">
        <f>SUM(E356:E383)</f>
        <v>0</v>
      </c>
      <c r="F384" s="169">
        <f>SUM(F356:F383)</f>
        <v>0</v>
      </c>
      <c r="G384" s="169">
        <f>SUM(G356:G383)</f>
        <v>0</v>
      </c>
      <c r="H384" s="169">
        <f>SUM(H356:H383)</f>
        <v>0</v>
      </c>
      <c r="I384" s="169">
        <f>G384+H384</f>
        <v>0</v>
      </c>
    </row>
    <row r="385" spans="1:10" ht="10.5" customHeight="1" thickTop="1" x14ac:dyDescent="0.15">
      <c r="A385" s="512"/>
      <c r="B385" s="521"/>
      <c r="C385" s="138"/>
      <c r="D385" s="14"/>
      <c r="E385" s="14"/>
      <c r="F385" s="14"/>
      <c r="G385" s="14"/>
      <c r="H385" s="198"/>
      <c r="I385" s="170"/>
    </row>
    <row r="386" spans="1:10" ht="10.5" customHeight="1" x14ac:dyDescent="0.15">
      <c r="A386" s="512" t="s">
        <v>266</v>
      </c>
      <c r="C386" s="138"/>
      <c r="D386" s="14"/>
      <c r="E386" s="14"/>
      <c r="F386" s="14"/>
      <c r="G386" s="14"/>
      <c r="H386" s="198"/>
      <c r="I386" s="170"/>
    </row>
    <row r="387" spans="1:10" s="434" customFormat="1" x14ac:dyDescent="0.15">
      <c r="B387" s="523" t="s">
        <v>1577</v>
      </c>
      <c r="C387" s="524" t="s">
        <v>228</v>
      </c>
      <c r="D387" s="316">
        <v>0</v>
      </c>
      <c r="E387" s="316">
        <v>0</v>
      </c>
      <c r="F387" s="316">
        <v>0</v>
      </c>
      <c r="G387" s="528">
        <f t="array" ref="G387">SUM(IF(CertFund&amp;CertProg&amp;CertObj=RIGHT(LEFT($A$2,7),2)&amp;LEFT(A386,4)&amp;B387,CertSalary))</f>
        <v>0</v>
      </c>
      <c r="H387" s="527">
        <v>0</v>
      </c>
      <c r="I387" s="566">
        <f>SUM(G387+H387)</f>
        <v>0</v>
      </c>
    </row>
    <row r="388" spans="1:10" s="434" customFormat="1" x14ac:dyDescent="0.15">
      <c r="B388" s="523" t="s">
        <v>1577</v>
      </c>
      <c r="C388" s="524" t="s">
        <v>510</v>
      </c>
      <c r="D388" s="316">
        <v>0</v>
      </c>
      <c r="E388" s="316">
        <v>0</v>
      </c>
      <c r="F388" s="316">
        <v>0</v>
      </c>
      <c r="G388" s="316">
        <v>0</v>
      </c>
      <c r="H388" s="527">
        <v>0</v>
      </c>
      <c r="I388" s="566">
        <f>SUM(G388+H388)</f>
        <v>0</v>
      </c>
    </row>
    <row r="389" spans="1:10" s="434" customFormat="1" x14ac:dyDescent="0.15">
      <c r="A389" s="524"/>
      <c r="B389" s="523" t="s">
        <v>1578</v>
      </c>
      <c r="C389" s="524" t="s">
        <v>936</v>
      </c>
      <c r="D389" s="316">
        <v>0</v>
      </c>
      <c r="E389" s="316">
        <v>0</v>
      </c>
      <c r="F389" s="316">
        <v>0</v>
      </c>
      <c r="G389" s="529">
        <f t="array" ref="G389">SUM(IF(CertFund&amp;CertProg&amp;CertObj=RIGHT(LEFT($A$2,7),2)&amp;LEFT(A386,4)&amp;B387,CertBen))</f>
        <v>0</v>
      </c>
      <c r="H389" s="527">
        <v>0</v>
      </c>
      <c r="I389" s="566">
        <f>SUM(G389+H389)</f>
        <v>0</v>
      </c>
    </row>
    <row r="390" spans="1:10" x14ac:dyDescent="0.15">
      <c r="A390" s="138"/>
      <c r="B390" s="521" t="s">
        <v>1578</v>
      </c>
      <c r="C390" s="138" t="s">
        <v>511</v>
      </c>
      <c r="D390" s="147">
        <v>0</v>
      </c>
      <c r="E390" s="147">
        <v>0</v>
      </c>
      <c r="F390" s="147">
        <v>0</v>
      </c>
      <c r="G390" s="147">
        <v>0</v>
      </c>
      <c r="H390" s="150">
        <v>0</v>
      </c>
      <c r="I390" s="567">
        <f>SUM(G390+H390)</f>
        <v>0</v>
      </c>
      <c r="J390" s="434"/>
    </row>
    <row r="391" spans="1:10" ht="10.5" customHeight="1" x14ac:dyDescent="0.15">
      <c r="A391" s="512"/>
      <c r="B391" s="521" t="s">
        <v>1579</v>
      </c>
      <c r="C391" s="138" t="s">
        <v>118</v>
      </c>
      <c r="D391" s="147">
        <v>0</v>
      </c>
      <c r="E391" s="147">
        <v>0</v>
      </c>
      <c r="F391" s="147">
        <v>0</v>
      </c>
      <c r="G391" s="147">
        <v>0</v>
      </c>
      <c r="H391" s="291">
        <v>0</v>
      </c>
      <c r="I391" s="579">
        <f t="shared" ref="I391:I406" si="11">SUM(G391+H391)</f>
        <v>0</v>
      </c>
    </row>
    <row r="392" spans="1:10" ht="10.5" customHeight="1" x14ac:dyDescent="0.15">
      <c r="A392" s="512"/>
      <c r="B392" s="521" t="s">
        <v>1580</v>
      </c>
      <c r="C392" s="138" t="s">
        <v>119</v>
      </c>
      <c r="D392" s="147">
        <v>0</v>
      </c>
      <c r="E392" s="147">
        <v>0</v>
      </c>
      <c r="F392" s="147">
        <v>0</v>
      </c>
      <c r="G392" s="147">
        <v>0</v>
      </c>
      <c r="H392" s="291">
        <v>0</v>
      </c>
      <c r="I392" s="579">
        <f t="shared" si="11"/>
        <v>0</v>
      </c>
    </row>
    <row r="393" spans="1:10" ht="10.5" customHeight="1" x14ac:dyDescent="0.15">
      <c r="A393" s="512"/>
      <c r="B393" s="521" t="s">
        <v>120</v>
      </c>
      <c r="C393" s="138" t="s">
        <v>121</v>
      </c>
      <c r="D393" s="147">
        <v>0</v>
      </c>
      <c r="E393" s="147">
        <v>0</v>
      </c>
      <c r="F393" s="147">
        <v>0</v>
      </c>
      <c r="G393" s="147">
        <v>0</v>
      </c>
      <c r="H393" s="291">
        <v>0</v>
      </c>
      <c r="I393" s="579">
        <f t="shared" si="11"/>
        <v>0</v>
      </c>
    </row>
    <row r="394" spans="1:10" ht="10.5" customHeight="1" x14ac:dyDescent="0.15">
      <c r="A394" s="512"/>
      <c r="B394" s="521" t="s">
        <v>122</v>
      </c>
      <c r="C394" s="138" t="s">
        <v>123</v>
      </c>
      <c r="D394" s="147">
        <v>0</v>
      </c>
      <c r="E394" s="147">
        <v>0</v>
      </c>
      <c r="F394" s="147">
        <v>0</v>
      </c>
      <c r="G394" s="147">
        <v>0</v>
      </c>
      <c r="H394" s="291">
        <v>0</v>
      </c>
      <c r="I394" s="579">
        <f t="shared" si="11"/>
        <v>0</v>
      </c>
    </row>
    <row r="395" spans="1:10" ht="10.5" customHeight="1" x14ac:dyDescent="0.15">
      <c r="A395" s="512"/>
      <c r="B395" s="521" t="s">
        <v>1581</v>
      </c>
      <c r="C395" s="138" t="s">
        <v>124</v>
      </c>
      <c r="D395" s="147">
        <v>0</v>
      </c>
      <c r="E395" s="147">
        <v>0</v>
      </c>
      <c r="F395" s="147">
        <v>0</v>
      </c>
      <c r="G395" s="147">
        <v>0</v>
      </c>
      <c r="H395" s="291">
        <v>0</v>
      </c>
      <c r="I395" s="579">
        <f t="shared" si="11"/>
        <v>0</v>
      </c>
    </row>
    <row r="396" spans="1:10" ht="10.5" customHeight="1" x14ac:dyDescent="0.15">
      <c r="A396" s="512"/>
      <c r="B396" s="521" t="s">
        <v>1625</v>
      </c>
      <c r="C396" s="138" t="s">
        <v>842</v>
      </c>
      <c r="D396" s="147">
        <v>0</v>
      </c>
      <c r="E396" s="147">
        <v>0</v>
      </c>
      <c r="F396" s="147">
        <v>0</v>
      </c>
      <c r="G396" s="147">
        <v>0</v>
      </c>
      <c r="H396" s="291">
        <v>0</v>
      </c>
      <c r="I396" s="579">
        <f t="shared" si="11"/>
        <v>0</v>
      </c>
    </row>
    <row r="397" spans="1:10" ht="10.5" customHeight="1" x14ac:dyDescent="0.15">
      <c r="A397" s="512"/>
      <c r="B397" s="521" t="s">
        <v>1582</v>
      </c>
      <c r="C397" s="138" t="s">
        <v>156</v>
      </c>
      <c r="D397" s="147">
        <v>0</v>
      </c>
      <c r="E397" s="147">
        <v>0</v>
      </c>
      <c r="F397" s="147">
        <v>0</v>
      </c>
      <c r="G397" s="147">
        <v>0</v>
      </c>
      <c r="H397" s="291">
        <v>0</v>
      </c>
      <c r="I397" s="579">
        <f t="shared" si="11"/>
        <v>0</v>
      </c>
    </row>
    <row r="398" spans="1:10" ht="10.5" customHeight="1" x14ac:dyDescent="0.15">
      <c r="A398" s="512"/>
      <c r="B398" s="521" t="s">
        <v>847</v>
      </c>
      <c r="C398" s="138" t="s">
        <v>157</v>
      </c>
      <c r="D398" s="147">
        <v>0</v>
      </c>
      <c r="E398" s="147">
        <v>0</v>
      </c>
      <c r="F398" s="147">
        <v>0</v>
      </c>
      <c r="G398" s="147">
        <v>0</v>
      </c>
      <c r="H398" s="291">
        <v>0</v>
      </c>
      <c r="I398" s="579">
        <f t="shared" si="11"/>
        <v>0</v>
      </c>
    </row>
    <row r="399" spans="1:10" ht="10.5" customHeight="1" x14ac:dyDescent="0.15">
      <c r="A399" s="512"/>
      <c r="B399" s="521" t="s">
        <v>1583</v>
      </c>
      <c r="C399" s="138" t="s">
        <v>160</v>
      </c>
      <c r="D399" s="147">
        <v>0</v>
      </c>
      <c r="E399" s="147">
        <v>0</v>
      </c>
      <c r="F399" s="147">
        <v>0</v>
      </c>
      <c r="G399" s="147">
        <v>0</v>
      </c>
      <c r="H399" s="291">
        <v>0</v>
      </c>
      <c r="I399" s="579">
        <f t="shared" si="11"/>
        <v>0</v>
      </c>
    </row>
    <row r="400" spans="1:10" ht="10.5" customHeight="1" x14ac:dyDescent="0.15">
      <c r="A400" s="512"/>
      <c r="B400" s="521" t="s">
        <v>634</v>
      </c>
      <c r="C400" s="138" t="s">
        <v>165</v>
      </c>
      <c r="D400" s="147">
        <v>0</v>
      </c>
      <c r="E400" s="147">
        <v>0</v>
      </c>
      <c r="F400" s="147">
        <v>0</v>
      </c>
      <c r="G400" s="147">
        <v>0</v>
      </c>
      <c r="H400" s="291">
        <v>0</v>
      </c>
      <c r="I400" s="579">
        <f t="shared" si="11"/>
        <v>0</v>
      </c>
    </row>
    <row r="401" spans="1:9" ht="10.5" customHeight="1" x14ac:dyDescent="0.15">
      <c r="A401" s="512"/>
      <c r="B401" s="521" t="s">
        <v>630</v>
      </c>
      <c r="C401" s="138" t="s">
        <v>172</v>
      </c>
      <c r="D401" s="147">
        <v>0</v>
      </c>
      <c r="E401" s="147">
        <v>0</v>
      </c>
      <c r="F401" s="147">
        <v>0</v>
      </c>
      <c r="G401" s="147">
        <v>0</v>
      </c>
      <c r="H401" s="291">
        <v>0</v>
      </c>
      <c r="I401" s="579">
        <f t="shared" si="11"/>
        <v>0</v>
      </c>
    </row>
    <row r="402" spans="1:9" ht="10.5" customHeight="1" x14ac:dyDescent="0.15">
      <c r="A402" s="512"/>
      <c r="B402" s="650" t="s">
        <v>631</v>
      </c>
      <c r="C402" s="651" t="s">
        <v>173</v>
      </c>
      <c r="D402" s="147">
        <v>0</v>
      </c>
      <c r="E402" s="147">
        <v>0</v>
      </c>
      <c r="F402" s="147">
        <v>0</v>
      </c>
      <c r="G402" s="147">
        <v>0</v>
      </c>
      <c r="H402" s="291">
        <v>0</v>
      </c>
      <c r="I402" s="579">
        <f t="shared" si="11"/>
        <v>0</v>
      </c>
    </row>
    <row r="403" spans="1:9" ht="10.5" customHeight="1" x14ac:dyDescent="0.15">
      <c r="A403" s="512"/>
      <c r="B403" s="521" t="s">
        <v>1584</v>
      </c>
      <c r="C403" s="138" t="s">
        <v>178</v>
      </c>
      <c r="D403" s="147">
        <v>0</v>
      </c>
      <c r="E403" s="147">
        <v>0</v>
      </c>
      <c r="F403" s="147">
        <v>0</v>
      </c>
      <c r="G403" s="147">
        <v>0</v>
      </c>
      <c r="H403" s="291">
        <v>0</v>
      </c>
      <c r="I403" s="579">
        <f t="shared" si="11"/>
        <v>0</v>
      </c>
    </row>
    <row r="404" spans="1:9" ht="10.5" customHeight="1" x14ac:dyDescent="0.15">
      <c r="A404" s="512"/>
      <c r="B404" s="521" t="s">
        <v>174</v>
      </c>
      <c r="C404" s="138" t="s">
        <v>179</v>
      </c>
      <c r="D404" s="147">
        <v>0</v>
      </c>
      <c r="E404" s="147">
        <v>0</v>
      </c>
      <c r="F404" s="147">
        <v>0</v>
      </c>
      <c r="G404" s="147">
        <v>0</v>
      </c>
      <c r="H404" s="291">
        <v>0</v>
      </c>
      <c r="I404" s="579">
        <f t="shared" si="11"/>
        <v>0</v>
      </c>
    </row>
    <row r="405" spans="1:9" ht="10.5" customHeight="1" x14ac:dyDescent="0.15">
      <c r="A405" s="512"/>
      <c r="B405" s="521" t="s">
        <v>175</v>
      </c>
      <c r="C405" s="138" t="s">
        <v>180</v>
      </c>
      <c r="D405" s="147">
        <v>0</v>
      </c>
      <c r="E405" s="147">
        <v>0</v>
      </c>
      <c r="F405" s="147">
        <v>0</v>
      </c>
      <c r="G405" s="147">
        <v>0</v>
      </c>
      <c r="H405" s="291">
        <v>0</v>
      </c>
      <c r="I405" s="579">
        <f t="shared" si="11"/>
        <v>0</v>
      </c>
    </row>
    <row r="406" spans="1:9" ht="10.5" customHeight="1" thickBot="1" x14ac:dyDescent="0.2">
      <c r="A406" s="512"/>
      <c r="B406" s="521" t="s">
        <v>176</v>
      </c>
      <c r="C406" s="138" t="s">
        <v>181</v>
      </c>
      <c r="D406" s="147">
        <v>0</v>
      </c>
      <c r="E406" s="147">
        <v>0</v>
      </c>
      <c r="F406" s="147">
        <v>0</v>
      </c>
      <c r="G406" s="147">
        <v>0</v>
      </c>
      <c r="H406" s="291">
        <v>0</v>
      </c>
      <c r="I406" s="579">
        <f t="shared" si="11"/>
        <v>0</v>
      </c>
    </row>
    <row r="407" spans="1:9" ht="10.5" customHeight="1" thickTop="1" thickBot="1" x14ac:dyDescent="0.2">
      <c r="A407" s="512"/>
      <c r="B407" s="521"/>
      <c r="C407" s="138" t="s">
        <v>330</v>
      </c>
      <c r="D407" s="169">
        <f>SUM(D387:D406)</f>
        <v>0</v>
      </c>
      <c r="E407" s="169">
        <f>SUM(E387:E406)</f>
        <v>0</v>
      </c>
      <c r="F407" s="169">
        <f>SUM(F387:F406)</f>
        <v>0</v>
      </c>
      <c r="G407" s="169">
        <f>SUM(G387:G406)</f>
        <v>0</v>
      </c>
      <c r="H407" s="169">
        <f>SUM(H387:H406)</f>
        <v>0</v>
      </c>
      <c r="I407" s="169">
        <f>G407+H407</f>
        <v>0</v>
      </c>
    </row>
    <row r="408" spans="1:9" ht="10.5" customHeight="1" thickTop="1" x14ac:dyDescent="0.15">
      <c r="A408" s="512"/>
      <c r="B408" s="521"/>
      <c r="C408" s="138"/>
      <c r="D408" s="14"/>
      <c r="E408" s="14"/>
      <c r="F408" s="14"/>
      <c r="G408" s="14"/>
      <c r="H408" s="198"/>
      <c r="I408" s="170"/>
    </row>
    <row r="409" spans="1:9" ht="10.5" customHeight="1" x14ac:dyDescent="0.15">
      <c r="A409" s="512" t="s">
        <v>265</v>
      </c>
      <c r="C409" s="138"/>
      <c r="D409" s="14"/>
      <c r="E409" s="14"/>
      <c r="F409" s="14"/>
      <c r="G409" s="14"/>
      <c r="H409" s="198"/>
      <c r="I409" s="170"/>
    </row>
    <row r="410" spans="1:9" s="434" customFormat="1" x14ac:dyDescent="0.15">
      <c r="B410" s="523" t="s">
        <v>1577</v>
      </c>
      <c r="C410" s="524" t="s">
        <v>228</v>
      </c>
      <c r="D410" s="316">
        <v>0</v>
      </c>
      <c r="E410" s="316">
        <v>0</v>
      </c>
      <c r="F410" s="316">
        <v>0</v>
      </c>
      <c r="G410" s="528">
        <f t="array" ref="G410">SUM(IF(CertFund&amp;CertProg&amp;CertObj=RIGHT(LEFT($A$2,7),2)&amp;LEFT(A409,4)&amp;B410,CertSalary))</f>
        <v>0</v>
      </c>
      <c r="H410" s="527">
        <v>0</v>
      </c>
      <c r="I410" s="566">
        <f>SUM(G410+H410)</f>
        <v>0</v>
      </c>
    </row>
    <row r="411" spans="1:9" s="434" customFormat="1" x14ac:dyDescent="0.15">
      <c r="B411" s="523" t="s">
        <v>1577</v>
      </c>
      <c r="C411" s="524" t="s">
        <v>510</v>
      </c>
      <c r="D411" s="316">
        <v>0</v>
      </c>
      <c r="E411" s="316">
        <v>0</v>
      </c>
      <c r="F411" s="316">
        <v>0</v>
      </c>
      <c r="G411" s="316">
        <v>0</v>
      </c>
      <c r="H411" s="527">
        <v>0</v>
      </c>
      <c r="I411" s="566">
        <f>SUM(G411+H411)</f>
        <v>0</v>
      </c>
    </row>
    <row r="412" spans="1:9" s="434" customFormat="1" x14ac:dyDescent="0.15">
      <c r="A412" s="524"/>
      <c r="B412" s="523" t="s">
        <v>1578</v>
      </c>
      <c r="C412" s="524" t="s">
        <v>936</v>
      </c>
      <c r="D412" s="316">
        <v>0</v>
      </c>
      <c r="E412" s="316">
        <v>0</v>
      </c>
      <c r="F412" s="316">
        <v>0</v>
      </c>
      <c r="G412" s="529">
        <f t="array" ref="G412">SUM(IF(CertFund&amp;CertProg&amp;CertObj=RIGHT(LEFT($A$2,7),2)&amp;LEFT(A409,4)&amp;B410,CertBen))</f>
        <v>0</v>
      </c>
      <c r="H412" s="527">
        <v>0</v>
      </c>
      <c r="I412" s="566">
        <f>SUM(G412+H412)</f>
        <v>0</v>
      </c>
    </row>
    <row r="413" spans="1:9" s="434" customFormat="1" x14ac:dyDescent="0.15">
      <c r="A413" s="524"/>
      <c r="B413" s="523" t="s">
        <v>1578</v>
      </c>
      <c r="C413" s="524" t="s">
        <v>511</v>
      </c>
      <c r="D413" s="316">
        <v>0</v>
      </c>
      <c r="E413" s="316">
        <v>0</v>
      </c>
      <c r="F413" s="316">
        <v>0</v>
      </c>
      <c r="G413" s="316">
        <v>0</v>
      </c>
      <c r="H413" s="527">
        <v>0</v>
      </c>
      <c r="I413" s="566">
        <f>SUM(G413+H413)</f>
        <v>0</v>
      </c>
    </row>
    <row r="414" spans="1:9" ht="10.5" customHeight="1" x14ac:dyDescent="0.15">
      <c r="A414" s="512"/>
      <c r="B414" s="521" t="s">
        <v>1579</v>
      </c>
      <c r="C414" s="138" t="s">
        <v>118</v>
      </c>
      <c r="D414" s="147">
        <v>0</v>
      </c>
      <c r="E414" s="147">
        <v>0</v>
      </c>
      <c r="F414" s="147">
        <v>0</v>
      </c>
      <c r="G414" s="147">
        <v>0</v>
      </c>
      <c r="H414" s="291">
        <v>0</v>
      </c>
      <c r="I414" s="579">
        <f t="shared" ref="I414:I429" si="12">SUM(G414+H414)</f>
        <v>0</v>
      </c>
    </row>
    <row r="415" spans="1:9" ht="10.5" customHeight="1" x14ac:dyDescent="0.15">
      <c r="A415" s="512"/>
      <c r="B415" s="521" t="s">
        <v>1580</v>
      </c>
      <c r="C415" s="138" t="s">
        <v>119</v>
      </c>
      <c r="D415" s="147">
        <v>0</v>
      </c>
      <c r="E415" s="147">
        <v>0</v>
      </c>
      <c r="F415" s="147">
        <v>0</v>
      </c>
      <c r="G415" s="147">
        <v>0</v>
      </c>
      <c r="H415" s="291">
        <v>0</v>
      </c>
      <c r="I415" s="579">
        <f t="shared" si="12"/>
        <v>0</v>
      </c>
    </row>
    <row r="416" spans="1:9" ht="10.5" customHeight="1" x14ac:dyDescent="0.15">
      <c r="A416" s="512"/>
      <c r="B416" s="521" t="s">
        <v>120</v>
      </c>
      <c r="C416" s="138" t="s">
        <v>121</v>
      </c>
      <c r="D416" s="147">
        <v>0</v>
      </c>
      <c r="E416" s="147">
        <v>0</v>
      </c>
      <c r="F416" s="147">
        <v>0</v>
      </c>
      <c r="G416" s="147">
        <v>0</v>
      </c>
      <c r="H416" s="291">
        <v>0</v>
      </c>
      <c r="I416" s="579">
        <f t="shared" si="12"/>
        <v>0</v>
      </c>
    </row>
    <row r="417" spans="1:9" ht="10.5" customHeight="1" x14ac:dyDescent="0.15">
      <c r="A417" s="512"/>
      <c r="B417" s="521" t="s">
        <v>122</v>
      </c>
      <c r="C417" s="138" t="s">
        <v>123</v>
      </c>
      <c r="D417" s="147">
        <v>0</v>
      </c>
      <c r="E417" s="147">
        <v>0</v>
      </c>
      <c r="F417" s="147">
        <v>0</v>
      </c>
      <c r="G417" s="147">
        <v>0</v>
      </c>
      <c r="H417" s="291">
        <v>0</v>
      </c>
      <c r="I417" s="579">
        <f t="shared" si="12"/>
        <v>0</v>
      </c>
    </row>
    <row r="418" spans="1:9" ht="10.5" customHeight="1" x14ac:dyDescent="0.15">
      <c r="A418" s="512"/>
      <c r="B418" s="521" t="s">
        <v>1581</v>
      </c>
      <c r="C418" s="138" t="s">
        <v>124</v>
      </c>
      <c r="D418" s="147">
        <v>0</v>
      </c>
      <c r="E418" s="147">
        <v>0</v>
      </c>
      <c r="F418" s="147">
        <v>0</v>
      </c>
      <c r="G418" s="147">
        <v>0</v>
      </c>
      <c r="H418" s="291">
        <v>0</v>
      </c>
      <c r="I418" s="579">
        <f t="shared" si="12"/>
        <v>0</v>
      </c>
    </row>
    <row r="419" spans="1:9" ht="10.5" customHeight="1" x14ac:dyDescent="0.15">
      <c r="A419" s="512"/>
      <c r="B419" s="521" t="s">
        <v>1625</v>
      </c>
      <c r="C419" s="138" t="s">
        <v>842</v>
      </c>
      <c r="D419" s="147">
        <v>0</v>
      </c>
      <c r="E419" s="147">
        <v>0</v>
      </c>
      <c r="F419" s="147">
        <v>0</v>
      </c>
      <c r="G419" s="147">
        <v>0</v>
      </c>
      <c r="H419" s="291">
        <v>0</v>
      </c>
      <c r="I419" s="579">
        <f t="shared" si="12"/>
        <v>0</v>
      </c>
    </row>
    <row r="420" spans="1:9" ht="10.5" customHeight="1" x14ac:dyDescent="0.15">
      <c r="A420" s="512"/>
      <c r="B420" s="521" t="s">
        <v>1582</v>
      </c>
      <c r="C420" s="138" t="s">
        <v>156</v>
      </c>
      <c r="D420" s="147">
        <v>0</v>
      </c>
      <c r="E420" s="147">
        <v>0</v>
      </c>
      <c r="F420" s="147">
        <v>0</v>
      </c>
      <c r="G420" s="147">
        <v>0</v>
      </c>
      <c r="H420" s="291">
        <v>0</v>
      </c>
      <c r="I420" s="579">
        <f t="shared" si="12"/>
        <v>0</v>
      </c>
    </row>
    <row r="421" spans="1:9" ht="10.5" customHeight="1" x14ac:dyDescent="0.15">
      <c r="A421" s="512"/>
      <c r="B421" s="521" t="s">
        <v>847</v>
      </c>
      <c r="C421" s="138" t="s">
        <v>157</v>
      </c>
      <c r="D421" s="147">
        <v>0</v>
      </c>
      <c r="E421" s="147">
        <v>0</v>
      </c>
      <c r="F421" s="147">
        <v>0</v>
      </c>
      <c r="G421" s="147">
        <v>0</v>
      </c>
      <c r="H421" s="291">
        <v>0</v>
      </c>
      <c r="I421" s="579">
        <f t="shared" si="12"/>
        <v>0</v>
      </c>
    </row>
    <row r="422" spans="1:9" ht="10.5" customHeight="1" x14ac:dyDescent="0.15">
      <c r="A422" s="512"/>
      <c r="B422" s="521" t="s">
        <v>1583</v>
      </c>
      <c r="C422" s="138" t="s">
        <v>160</v>
      </c>
      <c r="D422" s="147">
        <v>0</v>
      </c>
      <c r="E422" s="147">
        <v>0</v>
      </c>
      <c r="F422" s="147">
        <v>0</v>
      </c>
      <c r="G422" s="147">
        <v>0</v>
      </c>
      <c r="H422" s="291">
        <v>0</v>
      </c>
      <c r="I422" s="579">
        <f t="shared" si="12"/>
        <v>0</v>
      </c>
    </row>
    <row r="423" spans="1:9" ht="10.5" customHeight="1" x14ac:dyDescent="0.15">
      <c r="A423" s="512"/>
      <c r="B423" s="521" t="s">
        <v>634</v>
      </c>
      <c r="C423" s="138" t="s">
        <v>165</v>
      </c>
      <c r="D423" s="147">
        <v>0</v>
      </c>
      <c r="E423" s="147">
        <v>0</v>
      </c>
      <c r="F423" s="147">
        <v>0</v>
      </c>
      <c r="G423" s="147">
        <v>0</v>
      </c>
      <c r="H423" s="291">
        <v>0</v>
      </c>
      <c r="I423" s="579">
        <f t="shared" si="12"/>
        <v>0</v>
      </c>
    </row>
    <row r="424" spans="1:9" ht="10.5" customHeight="1" x14ac:dyDescent="0.15">
      <c r="A424" s="512"/>
      <c r="B424" s="521" t="s">
        <v>630</v>
      </c>
      <c r="C424" s="138" t="s">
        <v>172</v>
      </c>
      <c r="D424" s="147">
        <v>0</v>
      </c>
      <c r="E424" s="147">
        <v>0</v>
      </c>
      <c r="F424" s="147">
        <v>0</v>
      </c>
      <c r="G424" s="147">
        <v>0</v>
      </c>
      <c r="H424" s="291">
        <v>0</v>
      </c>
      <c r="I424" s="579">
        <f t="shared" si="12"/>
        <v>0</v>
      </c>
    </row>
    <row r="425" spans="1:9" ht="10.5" customHeight="1" x14ac:dyDescent="0.15">
      <c r="A425" s="512"/>
      <c r="B425" s="650" t="s">
        <v>631</v>
      </c>
      <c r="C425" s="651" t="s">
        <v>173</v>
      </c>
      <c r="D425" s="147">
        <v>0</v>
      </c>
      <c r="E425" s="147">
        <v>0</v>
      </c>
      <c r="F425" s="147">
        <v>0</v>
      </c>
      <c r="G425" s="147">
        <v>0</v>
      </c>
      <c r="H425" s="291">
        <v>0</v>
      </c>
      <c r="I425" s="579">
        <f t="shared" si="12"/>
        <v>0</v>
      </c>
    </row>
    <row r="426" spans="1:9" ht="10.5" customHeight="1" x14ac:dyDescent="0.15">
      <c r="A426" s="512"/>
      <c r="B426" s="521" t="s">
        <v>1584</v>
      </c>
      <c r="C426" s="138" t="s">
        <v>178</v>
      </c>
      <c r="D426" s="147">
        <v>0</v>
      </c>
      <c r="E426" s="147">
        <v>0</v>
      </c>
      <c r="F426" s="147">
        <v>0</v>
      </c>
      <c r="G426" s="147">
        <v>0</v>
      </c>
      <c r="H426" s="291">
        <v>0</v>
      </c>
      <c r="I426" s="579">
        <f t="shared" si="12"/>
        <v>0</v>
      </c>
    </row>
    <row r="427" spans="1:9" ht="10.5" customHeight="1" x14ac:dyDescent="0.15">
      <c r="A427" s="512"/>
      <c r="B427" s="521" t="s">
        <v>174</v>
      </c>
      <c r="C427" s="138" t="s">
        <v>179</v>
      </c>
      <c r="D427" s="147">
        <v>0</v>
      </c>
      <c r="E427" s="147">
        <v>0</v>
      </c>
      <c r="F427" s="147">
        <v>0</v>
      </c>
      <c r="G427" s="147">
        <v>0</v>
      </c>
      <c r="H427" s="291">
        <v>0</v>
      </c>
      <c r="I427" s="579">
        <f t="shared" si="12"/>
        <v>0</v>
      </c>
    </row>
    <row r="428" spans="1:9" ht="10.5" customHeight="1" x14ac:dyDescent="0.15">
      <c r="A428" s="512"/>
      <c r="B428" s="521" t="s">
        <v>175</v>
      </c>
      <c r="C428" s="138" t="s">
        <v>180</v>
      </c>
      <c r="D428" s="147">
        <v>0</v>
      </c>
      <c r="E428" s="147">
        <v>0</v>
      </c>
      <c r="F428" s="147">
        <v>0</v>
      </c>
      <c r="G428" s="147">
        <v>0</v>
      </c>
      <c r="H428" s="291">
        <v>0</v>
      </c>
      <c r="I428" s="579">
        <f t="shared" si="12"/>
        <v>0</v>
      </c>
    </row>
    <row r="429" spans="1:9" ht="10.5" customHeight="1" thickBot="1" x14ac:dyDescent="0.2">
      <c r="A429" s="512"/>
      <c r="B429" s="521" t="s">
        <v>176</v>
      </c>
      <c r="C429" s="138" t="s">
        <v>181</v>
      </c>
      <c r="D429" s="147">
        <v>0</v>
      </c>
      <c r="E429" s="147">
        <v>0</v>
      </c>
      <c r="F429" s="147">
        <v>0</v>
      </c>
      <c r="G429" s="147">
        <v>0</v>
      </c>
      <c r="H429" s="291">
        <v>0</v>
      </c>
      <c r="I429" s="579">
        <f t="shared" si="12"/>
        <v>0</v>
      </c>
    </row>
    <row r="430" spans="1:9" ht="10.5" customHeight="1" thickTop="1" thickBot="1" x14ac:dyDescent="0.2">
      <c r="A430" s="512"/>
      <c r="B430" s="521"/>
      <c r="C430" s="138" t="s">
        <v>331</v>
      </c>
      <c r="D430" s="169">
        <f>SUM(D410:D429)</f>
        <v>0</v>
      </c>
      <c r="E430" s="169">
        <f>SUM(E410:E429)</f>
        <v>0</v>
      </c>
      <c r="F430" s="169">
        <f>SUM(F410:F429)</f>
        <v>0</v>
      </c>
      <c r="G430" s="169">
        <f>SUM(G410:G429)</f>
        <v>0</v>
      </c>
      <c r="H430" s="169">
        <f>SUM(H410:H429)</f>
        <v>0</v>
      </c>
      <c r="I430" s="169">
        <f>G430+H430</f>
        <v>0</v>
      </c>
    </row>
    <row r="431" spans="1:9" ht="10.5" customHeight="1" thickTop="1" x14ac:dyDescent="0.15">
      <c r="A431" s="512"/>
      <c r="B431" s="521"/>
      <c r="C431" s="138"/>
      <c r="D431" s="14"/>
      <c r="E431" s="14"/>
      <c r="F431" s="14"/>
      <c r="G431" s="14"/>
      <c r="H431" s="198"/>
      <c r="I431" s="170"/>
    </row>
    <row r="432" spans="1:9" ht="10.5" customHeight="1" x14ac:dyDescent="0.15">
      <c r="A432" s="512" t="s">
        <v>667</v>
      </c>
      <c r="C432" s="138"/>
      <c r="D432" s="14"/>
      <c r="E432" s="14"/>
      <c r="F432" s="14"/>
      <c r="G432" s="14"/>
      <c r="H432" s="198"/>
      <c r="I432" s="170"/>
    </row>
    <row r="433" spans="1:10" s="434" customFormat="1" x14ac:dyDescent="0.15">
      <c r="B433" s="523" t="s">
        <v>1577</v>
      </c>
      <c r="C433" s="524" t="s">
        <v>228</v>
      </c>
      <c r="D433" s="316">
        <v>0</v>
      </c>
      <c r="E433" s="316">
        <v>0</v>
      </c>
      <c r="F433" s="316">
        <v>0</v>
      </c>
      <c r="G433" s="528">
        <f t="array" ref="G433">SUM(IF(CertFund&amp;CertProg&amp;CertObj=RIGHT(LEFT($A$2,7),2)&amp;LEFT(A432,4)&amp;B433,CertSalary))</f>
        <v>0</v>
      </c>
      <c r="H433" s="527">
        <v>0</v>
      </c>
      <c r="I433" s="566">
        <f>SUM(G433+H433)</f>
        <v>0</v>
      </c>
    </row>
    <row r="434" spans="1:10" s="434" customFormat="1" x14ac:dyDescent="0.15">
      <c r="B434" s="523" t="s">
        <v>1577</v>
      </c>
      <c r="C434" s="524" t="s">
        <v>510</v>
      </c>
      <c r="D434" s="316">
        <v>0</v>
      </c>
      <c r="E434" s="316">
        <v>0</v>
      </c>
      <c r="F434" s="316">
        <v>0</v>
      </c>
      <c r="G434" s="316">
        <v>0</v>
      </c>
      <c r="H434" s="527">
        <v>0</v>
      </c>
      <c r="I434" s="566">
        <f>SUM(G434+H434)</f>
        <v>0</v>
      </c>
    </row>
    <row r="435" spans="1:10" s="434" customFormat="1" x14ac:dyDescent="0.15">
      <c r="A435" s="524"/>
      <c r="B435" s="523" t="s">
        <v>1578</v>
      </c>
      <c r="C435" s="524" t="s">
        <v>936</v>
      </c>
      <c r="D435" s="316">
        <v>0</v>
      </c>
      <c r="E435" s="316">
        <v>0</v>
      </c>
      <c r="F435" s="316">
        <v>0</v>
      </c>
      <c r="G435" s="529">
        <f t="array" ref="G435">SUM(IF(CertFund&amp;CertProg&amp;CertObj=RIGHT(LEFT($A$2,7),2)&amp;LEFT(A432,4)&amp;B433,CertBen))</f>
        <v>0</v>
      </c>
      <c r="H435" s="527">
        <v>0</v>
      </c>
      <c r="I435" s="566">
        <f>SUM(G435+H435)</f>
        <v>0</v>
      </c>
    </row>
    <row r="436" spans="1:10" x14ac:dyDescent="0.15">
      <c r="A436" s="138"/>
      <c r="B436" s="521" t="s">
        <v>1578</v>
      </c>
      <c r="C436" s="138" t="s">
        <v>511</v>
      </c>
      <c r="D436" s="147">
        <v>0</v>
      </c>
      <c r="E436" s="147">
        <v>0</v>
      </c>
      <c r="F436" s="147">
        <v>0</v>
      </c>
      <c r="G436" s="147">
        <v>0</v>
      </c>
      <c r="H436" s="150">
        <v>0</v>
      </c>
      <c r="I436" s="567">
        <f>SUM(G436+H436)</f>
        <v>0</v>
      </c>
      <c r="J436" s="434"/>
    </row>
    <row r="437" spans="1:10" ht="10.5" customHeight="1" x14ac:dyDescent="0.15">
      <c r="A437" s="512"/>
      <c r="B437" s="521" t="s">
        <v>1579</v>
      </c>
      <c r="C437" s="138" t="s">
        <v>118</v>
      </c>
      <c r="D437" s="147">
        <v>0</v>
      </c>
      <c r="E437" s="147">
        <v>0</v>
      </c>
      <c r="F437" s="147">
        <v>0</v>
      </c>
      <c r="G437" s="147">
        <v>0</v>
      </c>
      <c r="H437" s="291">
        <v>0</v>
      </c>
      <c r="I437" s="579">
        <f t="shared" ref="I437:I460" si="13">SUM(G437+H437)</f>
        <v>0</v>
      </c>
    </row>
    <row r="438" spans="1:10" ht="10.5" customHeight="1" x14ac:dyDescent="0.15">
      <c r="A438" s="512"/>
      <c r="B438" s="521" t="s">
        <v>1580</v>
      </c>
      <c r="C438" s="138" t="s">
        <v>119</v>
      </c>
      <c r="D438" s="147">
        <v>0</v>
      </c>
      <c r="E438" s="147">
        <v>0</v>
      </c>
      <c r="F438" s="147">
        <v>0</v>
      </c>
      <c r="G438" s="147">
        <v>0</v>
      </c>
      <c r="H438" s="291">
        <v>0</v>
      </c>
      <c r="I438" s="579">
        <f t="shared" si="13"/>
        <v>0</v>
      </c>
    </row>
    <row r="439" spans="1:10" ht="10.5" customHeight="1" x14ac:dyDescent="0.15">
      <c r="A439" s="512"/>
      <c r="B439" s="521" t="s">
        <v>120</v>
      </c>
      <c r="C439" s="138" t="s">
        <v>121</v>
      </c>
      <c r="D439" s="147">
        <v>0</v>
      </c>
      <c r="E439" s="147">
        <v>0</v>
      </c>
      <c r="F439" s="147">
        <v>0</v>
      </c>
      <c r="G439" s="147">
        <v>0</v>
      </c>
      <c r="H439" s="291">
        <v>0</v>
      </c>
      <c r="I439" s="579">
        <f t="shared" si="13"/>
        <v>0</v>
      </c>
    </row>
    <row r="440" spans="1:10" ht="10.5" customHeight="1" x14ac:dyDescent="0.15">
      <c r="A440" s="512"/>
      <c r="B440" s="521" t="s">
        <v>122</v>
      </c>
      <c r="C440" s="138" t="s">
        <v>123</v>
      </c>
      <c r="D440" s="147">
        <v>0</v>
      </c>
      <c r="E440" s="147">
        <v>0</v>
      </c>
      <c r="F440" s="147">
        <v>0</v>
      </c>
      <c r="G440" s="147">
        <v>0</v>
      </c>
      <c r="H440" s="291">
        <v>0</v>
      </c>
      <c r="I440" s="579">
        <f t="shared" si="13"/>
        <v>0</v>
      </c>
    </row>
    <row r="441" spans="1:10" ht="10.5" customHeight="1" x14ac:dyDescent="0.15">
      <c r="A441" s="512"/>
      <c r="B441" s="521" t="s">
        <v>1581</v>
      </c>
      <c r="C441" s="138" t="s">
        <v>124</v>
      </c>
      <c r="D441" s="147">
        <v>0</v>
      </c>
      <c r="E441" s="147">
        <v>0</v>
      </c>
      <c r="F441" s="147">
        <v>0</v>
      </c>
      <c r="G441" s="147">
        <v>0</v>
      </c>
      <c r="H441" s="291">
        <v>0</v>
      </c>
      <c r="I441" s="579">
        <f t="shared" si="13"/>
        <v>0</v>
      </c>
    </row>
    <row r="442" spans="1:10" ht="10.5" customHeight="1" x14ac:dyDescent="0.15">
      <c r="A442" s="512"/>
      <c r="B442" s="521" t="s">
        <v>1624</v>
      </c>
      <c r="C442" s="138" t="s">
        <v>840</v>
      </c>
      <c r="D442" s="147">
        <v>0</v>
      </c>
      <c r="E442" s="147">
        <v>0</v>
      </c>
      <c r="F442" s="147">
        <v>0</v>
      </c>
      <c r="G442" s="147">
        <v>0</v>
      </c>
      <c r="H442" s="291">
        <v>0</v>
      </c>
      <c r="I442" s="579">
        <f t="shared" si="13"/>
        <v>0</v>
      </c>
    </row>
    <row r="443" spans="1:10" ht="10.5" customHeight="1" x14ac:dyDescent="0.15">
      <c r="A443" s="512"/>
      <c r="B443" s="521" t="s">
        <v>1625</v>
      </c>
      <c r="C443" s="138" t="s">
        <v>842</v>
      </c>
      <c r="D443" s="147">
        <v>0</v>
      </c>
      <c r="E443" s="147">
        <v>0</v>
      </c>
      <c r="F443" s="147">
        <v>0</v>
      </c>
      <c r="G443" s="147">
        <v>0</v>
      </c>
      <c r="H443" s="291">
        <v>0</v>
      </c>
      <c r="I443" s="579">
        <f t="shared" si="13"/>
        <v>0</v>
      </c>
    </row>
    <row r="444" spans="1:10" ht="10.5" customHeight="1" x14ac:dyDescent="0.15">
      <c r="B444" s="521" t="s">
        <v>843</v>
      </c>
      <c r="C444" s="138" t="s">
        <v>848</v>
      </c>
      <c r="D444" s="147">
        <v>0</v>
      </c>
      <c r="E444" s="147">
        <v>0</v>
      </c>
      <c r="F444" s="147">
        <v>0</v>
      </c>
      <c r="G444" s="147">
        <v>0</v>
      </c>
      <c r="H444" s="291">
        <v>0</v>
      </c>
      <c r="I444" s="579">
        <f t="shared" si="13"/>
        <v>0</v>
      </c>
    </row>
    <row r="445" spans="1:10" ht="10.5" customHeight="1" x14ac:dyDescent="0.15">
      <c r="B445" s="521" t="s">
        <v>844</v>
      </c>
      <c r="C445" s="138" t="s">
        <v>186</v>
      </c>
      <c r="D445" s="147">
        <v>0</v>
      </c>
      <c r="E445" s="147">
        <v>0</v>
      </c>
      <c r="F445" s="147">
        <v>0</v>
      </c>
      <c r="G445" s="147">
        <v>0</v>
      </c>
      <c r="H445" s="291">
        <v>0</v>
      </c>
      <c r="I445" s="579">
        <f t="shared" si="13"/>
        <v>0</v>
      </c>
    </row>
    <row r="446" spans="1:10" ht="10.5" customHeight="1" x14ac:dyDescent="0.15">
      <c r="B446" s="521" t="s">
        <v>845</v>
      </c>
      <c r="C446" s="138" t="s">
        <v>154</v>
      </c>
      <c r="D446" s="147">
        <v>0</v>
      </c>
      <c r="E446" s="147">
        <v>0</v>
      </c>
      <c r="F446" s="147">
        <v>0</v>
      </c>
      <c r="G446" s="147">
        <v>0</v>
      </c>
      <c r="H446" s="291">
        <v>0</v>
      </c>
      <c r="I446" s="579">
        <f t="shared" si="13"/>
        <v>0</v>
      </c>
    </row>
    <row r="447" spans="1:10" ht="10.5" customHeight="1" x14ac:dyDescent="0.15">
      <c r="B447" s="521" t="s">
        <v>846</v>
      </c>
      <c r="C447" s="138" t="s">
        <v>155</v>
      </c>
      <c r="D447" s="147">
        <v>0</v>
      </c>
      <c r="E447" s="147">
        <v>0</v>
      </c>
      <c r="F447" s="147">
        <v>0</v>
      </c>
      <c r="G447" s="147">
        <v>0</v>
      </c>
      <c r="H447" s="291">
        <v>0</v>
      </c>
      <c r="I447" s="579">
        <f t="shared" si="13"/>
        <v>0</v>
      </c>
    </row>
    <row r="448" spans="1:10" ht="10.5" customHeight="1" x14ac:dyDescent="0.15">
      <c r="A448" s="512"/>
      <c r="B448" s="521" t="s">
        <v>1582</v>
      </c>
      <c r="C448" s="138" t="s">
        <v>156</v>
      </c>
      <c r="D448" s="147">
        <v>0</v>
      </c>
      <c r="E448" s="147">
        <v>0</v>
      </c>
      <c r="F448" s="147">
        <v>0</v>
      </c>
      <c r="G448" s="147">
        <v>0</v>
      </c>
      <c r="H448" s="291">
        <v>0</v>
      </c>
      <c r="I448" s="579">
        <f t="shared" si="13"/>
        <v>0</v>
      </c>
    </row>
    <row r="449" spans="1:9" ht="10.5" customHeight="1" x14ac:dyDescent="0.15">
      <c r="A449" s="512"/>
      <c r="B449" s="521" t="s">
        <v>847</v>
      </c>
      <c r="C449" s="138" t="s">
        <v>157</v>
      </c>
      <c r="D449" s="147">
        <v>0</v>
      </c>
      <c r="E449" s="147">
        <v>0</v>
      </c>
      <c r="F449" s="147">
        <v>0</v>
      </c>
      <c r="G449" s="147">
        <v>0</v>
      </c>
      <c r="H449" s="291">
        <v>0</v>
      </c>
      <c r="I449" s="579">
        <f t="shared" si="13"/>
        <v>0</v>
      </c>
    </row>
    <row r="450" spans="1:9" ht="10.5" customHeight="1" x14ac:dyDescent="0.15">
      <c r="A450" s="512"/>
      <c r="B450" s="521" t="s">
        <v>1583</v>
      </c>
      <c r="C450" s="138" t="s">
        <v>160</v>
      </c>
      <c r="D450" s="147">
        <v>0</v>
      </c>
      <c r="E450" s="147">
        <v>0</v>
      </c>
      <c r="F450" s="147">
        <v>0</v>
      </c>
      <c r="G450" s="147">
        <v>0</v>
      </c>
      <c r="H450" s="291">
        <v>0</v>
      </c>
      <c r="I450" s="579">
        <f t="shared" si="13"/>
        <v>0</v>
      </c>
    </row>
    <row r="451" spans="1:9" ht="10.5" customHeight="1" x14ac:dyDescent="0.15">
      <c r="A451" s="512"/>
      <c r="B451" s="521" t="s">
        <v>634</v>
      </c>
      <c r="C451" s="138" t="s">
        <v>165</v>
      </c>
      <c r="D451" s="147">
        <v>0</v>
      </c>
      <c r="E451" s="147">
        <v>0</v>
      </c>
      <c r="F451" s="147">
        <v>0</v>
      </c>
      <c r="G451" s="147">
        <v>0</v>
      </c>
      <c r="H451" s="291">
        <v>0</v>
      </c>
      <c r="I451" s="579">
        <f t="shared" si="13"/>
        <v>0</v>
      </c>
    </row>
    <row r="452" spans="1:9" ht="10.5" customHeight="1" x14ac:dyDescent="0.15">
      <c r="A452" s="512"/>
      <c r="B452" s="521" t="s">
        <v>202</v>
      </c>
      <c r="C452" s="138" t="s">
        <v>171</v>
      </c>
      <c r="D452" s="147">
        <v>0</v>
      </c>
      <c r="E452" s="147">
        <v>0</v>
      </c>
      <c r="F452" s="147">
        <v>0</v>
      </c>
      <c r="G452" s="147">
        <v>0</v>
      </c>
      <c r="H452" s="291">
        <v>0</v>
      </c>
      <c r="I452" s="579">
        <f t="shared" si="13"/>
        <v>0</v>
      </c>
    </row>
    <row r="453" spans="1:9" ht="10.5" customHeight="1" x14ac:dyDescent="0.15">
      <c r="A453" s="512"/>
      <c r="B453" s="521" t="s">
        <v>630</v>
      </c>
      <c r="C453" s="138" t="s">
        <v>172</v>
      </c>
      <c r="D453" s="147">
        <v>0</v>
      </c>
      <c r="E453" s="147">
        <v>0</v>
      </c>
      <c r="F453" s="147">
        <v>0</v>
      </c>
      <c r="G453" s="147">
        <v>0</v>
      </c>
      <c r="H453" s="291">
        <v>0</v>
      </c>
      <c r="I453" s="579">
        <f t="shared" si="13"/>
        <v>0</v>
      </c>
    </row>
    <row r="454" spans="1:9" ht="10.5" customHeight="1" x14ac:dyDescent="0.15">
      <c r="A454" s="512"/>
      <c r="B454" s="650" t="s">
        <v>631</v>
      </c>
      <c r="C454" s="651" t="s">
        <v>173</v>
      </c>
      <c r="D454" s="147">
        <v>0</v>
      </c>
      <c r="E454" s="147">
        <v>0</v>
      </c>
      <c r="F454" s="147">
        <v>0</v>
      </c>
      <c r="G454" s="147">
        <v>0</v>
      </c>
      <c r="H454" s="291">
        <v>0</v>
      </c>
      <c r="I454" s="579">
        <f t="shared" si="13"/>
        <v>0</v>
      </c>
    </row>
    <row r="455" spans="1:9" ht="10.5" customHeight="1" x14ac:dyDescent="0.15">
      <c r="A455" s="512"/>
      <c r="B455" s="521" t="s">
        <v>1584</v>
      </c>
      <c r="C455" s="138" t="s">
        <v>178</v>
      </c>
      <c r="D455" s="147">
        <v>0</v>
      </c>
      <c r="E455" s="147">
        <v>0</v>
      </c>
      <c r="F455" s="147">
        <v>0</v>
      </c>
      <c r="G455" s="147">
        <v>0</v>
      </c>
      <c r="H455" s="291">
        <v>0</v>
      </c>
      <c r="I455" s="579">
        <f t="shared" si="13"/>
        <v>0</v>
      </c>
    </row>
    <row r="456" spans="1:9" ht="10.5" customHeight="1" x14ac:dyDescent="0.15">
      <c r="A456" s="512"/>
      <c r="B456" s="521" t="s">
        <v>174</v>
      </c>
      <c r="C456" s="138" t="s">
        <v>179</v>
      </c>
      <c r="D456" s="147">
        <v>0</v>
      </c>
      <c r="E456" s="147">
        <v>0</v>
      </c>
      <c r="F456" s="147">
        <v>0</v>
      </c>
      <c r="G456" s="147">
        <v>0</v>
      </c>
      <c r="H456" s="291">
        <v>0</v>
      </c>
      <c r="I456" s="579">
        <f t="shared" si="13"/>
        <v>0</v>
      </c>
    </row>
    <row r="457" spans="1:9" ht="10.5" customHeight="1" x14ac:dyDescent="0.15">
      <c r="A457" s="512"/>
      <c r="B457" s="521" t="s">
        <v>175</v>
      </c>
      <c r="C457" s="138" t="s">
        <v>180</v>
      </c>
      <c r="D457" s="147">
        <v>0</v>
      </c>
      <c r="E457" s="147">
        <v>0</v>
      </c>
      <c r="F457" s="147">
        <v>0</v>
      </c>
      <c r="G457" s="147">
        <v>0</v>
      </c>
      <c r="H457" s="291">
        <v>0</v>
      </c>
      <c r="I457" s="579">
        <f t="shared" si="13"/>
        <v>0</v>
      </c>
    </row>
    <row r="458" spans="1:9" ht="10.5" customHeight="1" x14ac:dyDescent="0.15">
      <c r="A458" s="512"/>
      <c r="B458" s="521" t="s">
        <v>176</v>
      </c>
      <c r="C458" s="138" t="s">
        <v>181</v>
      </c>
      <c r="D458" s="147">
        <v>0</v>
      </c>
      <c r="E458" s="147">
        <v>0</v>
      </c>
      <c r="F458" s="147">
        <v>0</v>
      </c>
      <c r="G458" s="147">
        <v>0</v>
      </c>
      <c r="H458" s="291">
        <v>0</v>
      </c>
      <c r="I458" s="579">
        <f t="shared" si="13"/>
        <v>0</v>
      </c>
    </row>
    <row r="459" spans="1:9" ht="10.5" customHeight="1" x14ac:dyDescent="0.15">
      <c r="A459" s="512"/>
      <c r="B459" s="521" t="s">
        <v>177</v>
      </c>
      <c r="C459" s="138" t="s">
        <v>182</v>
      </c>
      <c r="D459" s="147">
        <v>0</v>
      </c>
      <c r="E459" s="147">
        <v>0</v>
      </c>
      <c r="F459" s="147">
        <v>0</v>
      </c>
      <c r="G459" s="147">
        <v>0</v>
      </c>
      <c r="H459" s="291">
        <v>0</v>
      </c>
      <c r="I459" s="579">
        <f t="shared" si="13"/>
        <v>0</v>
      </c>
    </row>
    <row r="460" spans="1:9" ht="10.5" customHeight="1" thickBot="1" x14ac:dyDescent="0.2">
      <c r="A460" s="512"/>
      <c r="B460" s="521" t="s">
        <v>632</v>
      </c>
      <c r="C460" s="138" t="s">
        <v>183</v>
      </c>
      <c r="D460" s="144">
        <v>0</v>
      </c>
      <c r="E460" s="144">
        <v>0</v>
      </c>
      <c r="F460" s="144">
        <v>0</v>
      </c>
      <c r="G460" s="144">
        <v>0</v>
      </c>
      <c r="H460" s="291">
        <v>0</v>
      </c>
      <c r="I460" s="579">
        <f t="shared" si="13"/>
        <v>0</v>
      </c>
    </row>
    <row r="461" spans="1:9" ht="10.5" customHeight="1" thickTop="1" thickBot="1" x14ac:dyDescent="0.2">
      <c r="A461" s="512"/>
      <c r="B461" s="521"/>
      <c r="C461" s="138" t="s">
        <v>668</v>
      </c>
      <c r="D461" s="169">
        <f>SUM(D433:D460)</f>
        <v>0</v>
      </c>
      <c r="E461" s="169">
        <f>SUM(E433:E460)</f>
        <v>0</v>
      </c>
      <c r="F461" s="169">
        <f>SUM(F433:F460)</f>
        <v>0</v>
      </c>
      <c r="G461" s="169">
        <f>SUM(G433:G460)</f>
        <v>0</v>
      </c>
      <c r="H461" s="169">
        <f>SUM(H433:H460)</f>
        <v>0</v>
      </c>
      <c r="I461" s="169">
        <f>G461+H461</f>
        <v>0</v>
      </c>
    </row>
    <row r="462" spans="1:9" ht="10.5" customHeight="1" thickTop="1" x14ac:dyDescent="0.15">
      <c r="A462" s="512"/>
      <c r="B462" s="521"/>
      <c r="C462" s="138"/>
      <c r="D462" s="14"/>
      <c r="E462" s="14"/>
      <c r="F462" s="14"/>
      <c r="G462" s="14"/>
      <c r="H462" s="198"/>
      <c r="I462" s="170"/>
    </row>
    <row r="463" spans="1:9" ht="10.5" customHeight="1" x14ac:dyDescent="0.15">
      <c r="A463" s="512" t="s">
        <v>669</v>
      </c>
      <c r="C463" s="138"/>
      <c r="D463" s="14"/>
      <c r="E463" s="14"/>
      <c r="F463" s="14"/>
      <c r="G463" s="14"/>
      <c r="H463" s="198"/>
      <c r="I463" s="170"/>
    </row>
    <row r="464" spans="1:9" s="434" customFormat="1" x14ac:dyDescent="0.15">
      <c r="B464" s="523" t="s">
        <v>1577</v>
      </c>
      <c r="C464" s="524" t="s">
        <v>228</v>
      </c>
      <c r="D464" s="316">
        <v>0</v>
      </c>
      <c r="E464" s="316">
        <v>0</v>
      </c>
      <c r="F464" s="316">
        <v>0</v>
      </c>
      <c r="G464" s="528">
        <f t="array" ref="G464">SUM(IF(CertFund&amp;CertProg&amp;CertObj=RIGHT(LEFT($A$2,7),2)&amp;LEFT(A463,4)&amp;B464,CertSalary))</f>
        <v>0</v>
      </c>
      <c r="H464" s="527">
        <v>0</v>
      </c>
      <c r="I464" s="566">
        <f>SUM(G464+H464)</f>
        <v>0</v>
      </c>
    </row>
    <row r="465" spans="1:9" s="434" customFormat="1" x14ac:dyDescent="0.15">
      <c r="B465" s="523" t="s">
        <v>1577</v>
      </c>
      <c r="C465" s="524" t="s">
        <v>510</v>
      </c>
      <c r="D465" s="316">
        <v>0</v>
      </c>
      <c r="E465" s="316">
        <v>0</v>
      </c>
      <c r="F465" s="316">
        <v>0</v>
      </c>
      <c r="G465" s="316">
        <v>0</v>
      </c>
      <c r="H465" s="527">
        <v>0</v>
      </c>
      <c r="I465" s="566">
        <f>SUM(G465+H465)</f>
        <v>0</v>
      </c>
    </row>
    <row r="466" spans="1:9" s="434" customFormat="1" x14ac:dyDescent="0.15">
      <c r="A466" s="524"/>
      <c r="B466" s="523" t="s">
        <v>1578</v>
      </c>
      <c r="C466" s="524" t="s">
        <v>936</v>
      </c>
      <c r="D466" s="316">
        <v>0</v>
      </c>
      <c r="E466" s="316">
        <v>0</v>
      </c>
      <c r="F466" s="316">
        <v>0</v>
      </c>
      <c r="G466" s="529">
        <f t="array" ref="G466">SUM(IF(CertFund&amp;CertProg&amp;CertObj=RIGHT(LEFT($A$2,7),2)&amp;LEFT(A463,4)&amp;B464,CertBen))</f>
        <v>0</v>
      </c>
      <c r="H466" s="527">
        <v>0</v>
      </c>
      <c r="I466" s="566">
        <f>SUM(G466+H466)</f>
        <v>0</v>
      </c>
    </row>
    <row r="467" spans="1:9" s="434" customFormat="1" x14ac:dyDescent="0.15">
      <c r="A467" s="524"/>
      <c r="B467" s="523" t="s">
        <v>1578</v>
      </c>
      <c r="C467" s="524" t="s">
        <v>511</v>
      </c>
      <c r="D467" s="316">
        <v>0</v>
      </c>
      <c r="E467" s="316">
        <v>0</v>
      </c>
      <c r="F467" s="316">
        <v>0</v>
      </c>
      <c r="G467" s="316">
        <v>0</v>
      </c>
      <c r="H467" s="527">
        <v>0</v>
      </c>
      <c r="I467" s="566">
        <f>SUM(G467+H467)</f>
        <v>0</v>
      </c>
    </row>
    <row r="468" spans="1:9" ht="10.5" customHeight="1" x14ac:dyDescent="0.15">
      <c r="B468" s="521" t="s">
        <v>1579</v>
      </c>
      <c r="C468" s="138" t="s">
        <v>118</v>
      </c>
      <c r="D468" s="147">
        <v>0</v>
      </c>
      <c r="E468" s="147">
        <v>0</v>
      </c>
      <c r="F468" s="147">
        <v>0</v>
      </c>
      <c r="G468" s="147">
        <v>0</v>
      </c>
      <c r="H468" s="291">
        <v>0</v>
      </c>
      <c r="I468" s="579">
        <f t="shared" ref="I468:I491" si="14">SUM(G468+H468)</f>
        <v>0</v>
      </c>
    </row>
    <row r="469" spans="1:9" ht="10.5" customHeight="1" x14ac:dyDescent="0.15">
      <c r="B469" s="521" t="s">
        <v>1580</v>
      </c>
      <c r="C469" s="138" t="s">
        <v>119</v>
      </c>
      <c r="D469" s="147">
        <v>0</v>
      </c>
      <c r="E469" s="147">
        <v>0</v>
      </c>
      <c r="F469" s="147">
        <v>0</v>
      </c>
      <c r="G469" s="147">
        <v>0</v>
      </c>
      <c r="H469" s="291">
        <v>0</v>
      </c>
      <c r="I469" s="579">
        <f t="shared" si="14"/>
        <v>0</v>
      </c>
    </row>
    <row r="470" spans="1:9" ht="10.5" customHeight="1" x14ac:dyDescent="0.15">
      <c r="B470" s="521" t="s">
        <v>120</v>
      </c>
      <c r="C470" s="138" t="s">
        <v>121</v>
      </c>
      <c r="D470" s="147">
        <v>0</v>
      </c>
      <c r="E470" s="147">
        <v>0</v>
      </c>
      <c r="F470" s="147">
        <v>0</v>
      </c>
      <c r="G470" s="147">
        <v>0</v>
      </c>
      <c r="H470" s="291">
        <v>0</v>
      </c>
      <c r="I470" s="579">
        <f t="shared" si="14"/>
        <v>0</v>
      </c>
    </row>
    <row r="471" spans="1:9" ht="10.5" customHeight="1" x14ac:dyDescent="0.15">
      <c r="B471" s="521" t="s">
        <v>122</v>
      </c>
      <c r="C471" s="138" t="s">
        <v>123</v>
      </c>
      <c r="D471" s="147">
        <v>0</v>
      </c>
      <c r="E471" s="147">
        <v>0</v>
      </c>
      <c r="F471" s="147">
        <v>0</v>
      </c>
      <c r="G471" s="147">
        <v>0</v>
      </c>
      <c r="H471" s="291">
        <v>0</v>
      </c>
      <c r="I471" s="579">
        <f t="shared" si="14"/>
        <v>0</v>
      </c>
    </row>
    <row r="472" spans="1:9" ht="10.5" customHeight="1" x14ac:dyDescent="0.15">
      <c r="B472" s="521" t="s">
        <v>1581</v>
      </c>
      <c r="C472" s="138" t="s">
        <v>124</v>
      </c>
      <c r="D472" s="147">
        <v>0</v>
      </c>
      <c r="E472" s="147">
        <v>0</v>
      </c>
      <c r="F472" s="147">
        <v>0</v>
      </c>
      <c r="G472" s="147">
        <v>0</v>
      </c>
      <c r="H472" s="291">
        <v>0</v>
      </c>
      <c r="I472" s="579">
        <f t="shared" si="14"/>
        <v>0</v>
      </c>
    </row>
    <row r="473" spans="1:9" ht="10.5" customHeight="1" x14ac:dyDescent="0.15">
      <c r="B473" s="521" t="s">
        <v>127</v>
      </c>
      <c r="C473" s="138" t="s">
        <v>134</v>
      </c>
      <c r="D473" s="147">
        <v>0</v>
      </c>
      <c r="E473" s="147">
        <v>0</v>
      </c>
      <c r="F473" s="147">
        <v>0</v>
      </c>
      <c r="G473" s="147">
        <v>0</v>
      </c>
      <c r="H473" s="291">
        <v>0</v>
      </c>
      <c r="I473" s="579">
        <f t="shared" si="14"/>
        <v>0</v>
      </c>
    </row>
    <row r="474" spans="1:9" ht="10.5" customHeight="1" x14ac:dyDescent="0.15">
      <c r="B474" s="521" t="s">
        <v>1624</v>
      </c>
      <c r="C474" s="138" t="s">
        <v>840</v>
      </c>
      <c r="D474" s="147">
        <v>0</v>
      </c>
      <c r="E474" s="147">
        <v>0</v>
      </c>
      <c r="F474" s="147">
        <v>0</v>
      </c>
      <c r="G474" s="147">
        <v>0</v>
      </c>
      <c r="H474" s="291">
        <v>0</v>
      </c>
      <c r="I474" s="579">
        <f t="shared" si="14"/>
        <v>0</v>
      </c>
    </row>
    <row r="475" spans="1:9" ht="10.5" customHeight="1" x14ac:dyDescent="0.15">
      <c r="B475" s="521" t="s">
        <v>1625</v>
      </c>
      <c r="C475" s="138" t="s">
        <v>842</v>
      </c>
      <c r="D475" s="147">
        <v>0</v>
      </c>
      <c r="E475" s="147">
        <v>0</v>
      </c>
      <c r="F475" s="147">
        <v>0</v>
      </c>
      <c r="G475" s="147">
        <v>0</v>
      </c>
      <c r="H475" s="291">
        <v>0</v>
      </c>
      <c r="I475" s="579">
        <f t="shared" si="14"/>
        <v>0</v>
      </c>
    </row>
    <row r="476" spans="1:9" ht="10.5" customHeight="1" x14ac:dyDescent="0.15">
      <c r="B476" s="521" t="s">
        <v>843</v>
      </c>
      <c r="C476" s="138" t="s">
        <v>848</v>
      </c>
      <c r="D476" s="147">
        <v>0</v>
      </c>
      <c r="E476" s="147">
        <v>0</v>
      </c>
      <c r="F476" s="147">
        <v>0</v>
      </c>
      <c r="G476" s="147">
        <v>0</v>
      </c>
      <c r="H476" s="291">
        <v>0</v>
      </c>
      <c r="I476" s="579">
        <f t="shared" si="14"/>
        <v>0</v>
      </c>
    </row>
    <row r="477" spans="1:9" ht="10.5" customHeight="1" x14ac:dyDescent="0.15">
      <c r="B477" s="521" t="s">
        <v>844</v>
      </c>
      <c r="C477" s="138" t="s">
        <v>186</v>
      </c>
      <c r="D477" s="147">
        <v>0</v>
      </c>
      <c r="E477" s="147">
        <v>0</v>
      </c>
      <c r="F477" s="147">
        <v>0</v>
      </c>
      <c r="G477" s="147">
        <v>0</v>
      </c>
      <c r="H477" s="291">
        <v>0</v>
      </c>
      <c r="I477" s="579">
        <f t="shared" si="14"/>
        <v>0</v>
      </c>
    </row>
    <row r="478" spans="1:9" ht="10.5" customHeight="1" x14ac:dyDescent="0.15">
      <c r="B478" s="521" t="s">
        <v>845</v>
      </c>
      <c r="C478" s="138" t="s">
        <v>154</v>
      </c>
      <c r="D478" s="147">
        <v>0</v>
      </c>
      <c r="E478" s="147">
        <v>0</v>
      </c>
      <c r="F478" s="147">
        <v>0</v>
      </c>
      <c r="G478" s="147">
        <v>0</v>
      </c>
      <c r="H478" s="291">
        <v>0</v>
      </c>
      <c r="I478" s="579">
        <f t="shared" si="14"/>
        <v>0</v>
      </c>
    </row>
    <row r="479" spans="1:9" ht="10.5" customHeight="1" x14ac:dyDescent="0.15">
      <c r="B479" s="521" t="s">
        <v>846</v>
      </c>
      <c r="C479" s="138" t="s">
        <v>155</v>
      </c>
      <c r="D479" s="147">
        <v>0</v>
      </c>
      <c r="E479" s="147">
        <v>0</v>
      </c>
      <c r="F479" s="147">
        <v>0</v>
      </c>
      <c r="G479" s="147">
        <v>0</v>
      </c>
      <c r="H479" s="291">
        <v>0</v>
      </c>
      <c r="I479" s="579">
        <f t="shared" si="14"/>
        <v>0</v>
      </c>
    </row>
    <row r="480" spans="1:9" ht="10.5" customHeight="1" x14ac:dyDescent="0.15">
      <c r="B480" s="521" t="s">
        <v>1582</v>
      </c>
      <c r="C480" s="138" t="s">
        <v>156</v>
      </c>
      <c r="D480" s="147">
        <v>0</v>
      </c>
      <c r="E480" s="147">
        <v>0</v>
      </c>
      <c r="F480" s="147">
        <v>0</v>
      </c>
      <c r="G480" s="147">
        <v>0</v>
      </c>
      <c r="H480" s="291">
        <v>0</v>
      </c>
      <c r="I480" s="579">
        <f t="shared" si="14"/>
        <v>0</v>
      </c>
    </row>
    <row r="481" spans="1:9" ht="10.5" customHeight="1" x14ac:dyDescent="0.15">
      <c r="B481" s="521" t="s">
        <v>847</v>
      </c>
      <c r="C481" s="138" t="s">
        <v>157</v>
      </c>
      <c r="D481" s="147">
        <v>0</v>
      </c>
      <c r="E481" s="147">
        <v>0</v>
      </c>
      <c r="F481" s="147">
        <v>0</v>
      </c>
      <c r="G481" s="147">
        <v>0</v>
      </c>
      <c r="H481" s="291">
        <v>0</v>
      </c>
      <c r="I481" s="579">
        <f t="shared" si="14"/>
        <v>0</v>
      </c>
    </row>
    <row r="482" spans="1:9" ht="10.5" customHeight="1" x14ac:dyDescent="0.15">
      <c r="B482" s="521" t="s">
        <v>1583</v>
      </c>
      <c r="C482" s="138" t="s">
        <v>160</v>
      </c>
      <c r="D482" s="147">
        <v>0</v>
      </c>
      <c r="E482" s="147">
        <v>0</v>
      </c>
      <c r="F482" s="147">
        <v>0</v>
      </c>
      <c r="G482" s="147">
        <v>0</v>
      </c>
      <c r="H482" s="291">
        <v>0</v>
      </c>
      <c r="I482" s="579">
        <f t="shared" si="14"/>
        <v>0</v>
      </c>
    </row>
    <row r="483" spans="1:9" ht="10.5" customHeight="1" x14ac:dyDescent="0.15">
      <c r="B483" s="521" t="s">
        <v>634</v>
      </c>
      <c r="C483" s="138" t="s">
        <v>165</v>
      </c>
      <c r="D483" s="147">
        <v>0</v>
      </c>
      <c r="E483" s="147">
        <v>0</v>
      </c>
      <c r="F483" s="147">
        <v>0</v>
      </c>
      <c r="G483" s="147">
        <v>0</v>
      </c>
      <c r="H483" s="291">
        <v>0</v>
      </c>
      <c r="I483" s="579">
        <f t="shared" si="14"/>
        <v>0</v>
      </c>
    </row>
    <row r="484" spans="1:9" ht="10.5" customHeight="1" x14ac:dyDescent="0.15">
      <c r="B484" s="521" t="s">
        <v>630</v>
      </c>
      <c r="C484" s="138" t="s">
        <v>172</v>
      </c>
      <c r="D484" s="147">
        <v>0</v>
      </c>
      <c r="E484" s="147">
        <v>0</v>
      </c>
      <c r="F484" s="147">
        <v>0</v>
      </c>
      <c r="G484" s="147">
        <v>0</v>
      </c>
      <c r="H484" s="291">
        <v>0</v>
      </c>
      <c r="I484" s="579">
        <f t="shared" si="14"/>
        <v>0</v>
      </c>
    </row>
    <row r="485" spans="1:9" ht="10.5" customHeight="1" x14ac:dyDescent="0.15">
      <c r="B485" s="650" t="s">
        <v>631</v>
      </c>
      <c r="C485" s="651" t="s">
        <v>173</v>
      </c>
      <c r="D485" s="147">
        <v>0</v>
      </c>
      <c r="E485" s="147">
        <v>0</v>
      </c>
      <c r="F485" s="147">
        <v>0</v>
      </c>
      <c r="G485" s="147">
        <v>0</v>
      </c>
      <c r="H485" s="291">
        <v>0</v>
      </c>
      <c r="I485" s="579">
        <f t="shared" si="14"/>
        <v>0</v>
      </c>
    </row>
    <row r="486" spans="1:9" ht="10.5" customHeight="1" x14ac:dyDescent="0.15">
      <c r="B486" s="521" t="s">
        <v>1584</v>
      </c>
      <c r="C486" s="138" t="s">
        <v>178</v>
      </c>
      <c r="D486" s="147">
        <v>0</v>
      </c>
      <c r="E486" s="147">
        <v>0</v>
      </c>
      <c r="F486" s="147">
        <v>0</v>
      </c>
      <c r="G486" s="147">
        <v>0</v>
      </c>
      <c r="H486" s="291">
        <v>0</v>
      </c>
      <c r="I486" s="579">
        <f t="shared" si="14"/>
        <v>0</v>
      </c>
    </row>
    <row r="487" spans="1:9" ht="10.5" customHeight="1" x14ac:dyDescent="0.15">
      <c r="B487" s="521" t="s">
        <v>174</v>
      </c>
      <c r="C487" s="138" t="s">
        <v>179</v>
      </c>
      <c r="D487" s="147">
        <v>0</v>
      </c>
      <c r="E487" s="147">
        <v>0</v>
      </c>
      <c r="F487" s="147">
        <v>0</v>
      </c>
      <c r="G487" s="147">
        <v>0</v>
      </c>
      <c r="H487" s="291">
        <v>0</v>
      </c>
      <c r="I487" s="579">
        <f t="shared" si="14"/>
        <v>0</v>
      </c>
    </row>
    <row r="488" spans="1:9" ht="10.5" customHeight="1" x14ac:dyDescent="0.15">
      <c r="B488" s="521" t="s">
        <v>175</v>
      </c>
      <c r="C488" s="138" t="s">
        <v>180</v>
      </c>
      <c r="D488" s="147">
        <v>0</v>
      </c>
      <c r="E488" s="147">
        <v>0</v>
      </c>
      <c r="F488" s="147">
        <v>0</v>
      </c>
      <c r="G488" s="147">
        <v>0</v>
      </c>
      <c r="H488" s="291">
        <v>0</v>
      </c>
      <c r="I488" s="579">
        <f t="shared" si="14"/>
        <v>0</v>
      </c>
    </row>
    <row r="489" spans="1:9" ht="10.5" customHeight="1" x14ac:dyDescent="0.15">
      <c r="B489" s="521" t="s">
        <v>176</v>
      </c>
      <c r="C489" s="138" t="s">
        <v>181</v>
      </c>
      <c r="D489" s="147">
        <v>0</v>
      </c>
      <c r="E489" s="147">
        <v>0</v>
      </c>
      <c r="F489" s="147">
        <v>0</v>
      </c>
      <c r="G489" s="147">
        <v>0</v>
      </c>
      <c r="H489" s="291">
        <v>0</v>
      </c>
      <c r="I489" s="579">
        <f t="shared" si="14"/>
        <v>0</v>
      </c>
    </row>
    <row r="490" spans="1:9" ht="10.5" customHeight="1" x14ac:dyDescent="0.15">
      <c r="B490" s="521" t="s">
        <v>177</v>
      </c>
      <c r="C490" s="138" t="s">
        <v>182</v>
      </c>
      <c r="D490" s="147">
        <v>0</v>
      </c>
      <c r="E490" s="147">
        <v>0</v>
      </c>
      <c r="F490" s="147">
        <v>0</v>
      </c>
      <c r="G490" s="147">
        <v>0</v>
      </c>
      <c r="H490" s="291">
        <v>0</v>
      </c>
      <c r="I490" s="579">
        <f t="shared" si="14"/>
        <v>0</v>
      </c>
    </row>
    <row r="491" spans="1:9" ht="10.5" customHeight="1" thickBot="1" x14ac:dyDescent="0.2">
      <c r="B491" s="521" t="s">
        <v>632</v>
      </c>
      <c r="C491" s="138" t="s">
        <v>183</v>
      </c>
      <c r="D491" s="144">
        <v>0</v>
      </c>
      <c r="E491" s="144">
        <v>0</v>
      </c>
      <c r="F491" s="144">
        <v>0</v>
      </c>
      <c r="G491" s="144">
        <v>0</v>
      </c>
      <c r="H491" s="291">
        <v>0</v>
      </c>
      <c r="I491" s="579">
        <f t="shared" si="14"/>
        <v>0</v>
      </c>
    </row>
    <row r="492" spans="1:9" ht="10.5" customHeight="1" thickTop="1" thickBot="1" x14ac:dyDescent="0.2">
      <c r="B492" s="521"/>
      <c r="C492" s="138" t="s">
        <v>670</v>
      </c>
      <c r="D492" s="169">
        <f>SUM(D464:D491)</f>
        <v>0</v>
      </c>
      <c r="E492" s="169">
        <f>SUM(E464:E491)</f>
        <v>0</v>
      </c>
      <c r="F492" s="169">
        <f>SUM(F464:F491)</f>
        <v>0</v>
      </c>
      <c r="G492" s="169">
        <f>SUM(G464:G491)</f>
        <v>0</v>
      </c>
      <c r="H492" s="169">
        <f>SUM(H464:H491)</f>
        <v>0</v>
      </c>
      <c r="I492" s="169">
        <f>G492+H492</f>
        <v>0</v>
      </c>
    </row>
    <row r="493" spans="1:9" ht="10.5" customHeight="1" thickTop="1" x14ac:dyDescent="0.15">
      <c r="B493" s="521"/>
      <c r="C493" s="138"/>
      <c r="D493" s="14"/>
      <c r="E493" s="14"/>
      <c r="F493" s="14"/>
      <c r="G493" s="14"/>
      <c r="H493" s="198"/>
      <c r="I493" s="170"/>
    </row>
    <row r="494" spans="1:9" ht="10.5" customHeight="1" x14ac:dyDescent="0.15">
      <c r="A494" s="512" t="s">
        <v>671</v>
      </c>
      <c r="C494" s="138"/>
      <c r="D494" s="14"/>
      <c r="E494" s="14"/>
      <c r="F494" s="14"/>
      <c r="G494" s="14"/>
      <c r="H494" s="198"/>
      <c r="I494" s="170"/>
    </row>
    <row r="495" spans="1:9" s="434" customFormat="1" x14ac:dyDescent="0.15">
      <c r="B495" s="523" t="s">
        <v>1577</v>
      </c>
      <c r="C495" s="524" t="s">
        <v>228</v>
      </c>
      <c r="D495" s="316">
        <v>0</v>
      </c>
      <c r="E495" s="316">
        <v>0</v>
      </c>
      <c r="F495" s="316">
        <v>0</v>
      </c>
      <c r="G495" s="528">
        <f t="array" ref="G495">SUM(IF(CertFund&amp;CertProg&amp;CertObj=RIGHT(LEFT($A$2,7),2)&amp;LEFT(A494,4)&amp;B495,CertSalary))</f>
        <v>0</v>
      </c>
      <c r="H495" s="527">
        <v>0</v>
      </c>
      <c r="I495" s="566">
        <f>SUM(G495+H495)</f>
        <v>0</v>
      </c>
    </row>
    <row r="496" spans="1:9" s="434" customFormat="1" x14ac:dyDescent="0.15">
      <c r="B496" s="523" t="s">
        <v>1577</v>
      </c>
      <c r="C496" s="524" t="s">
        <v>510</v>
      </c>
      <c r="D496" s="316">
        <v>0</v>
      </c>
      <c r="E496" s="316">
        <v>0</v>
      </c>
      <c r="F496" s="316">
        <v>0</v>
      </c>
      <c r="G496" s="316">
        <v>0</v>
      </c>
      <c r="H496" s="527">
        <v>0</v>
      </c>
      <c r="I496" s="566">
        <f>SUM(G496+H496)</f>
        <v>0</v>
      </c>
    </row>
    <row r="497" spans="1:10" s="434" customFormat="1" x14ac:dyDescent="0.15">
      <c r="A497" s="524"/>
      <c r="B497" s="523" t="s">
        <v>1578</v>
      </c>
      <c r="C497" s="524" t="s">
        <v>936</v>
      </c>
      <c r="D497" s="316">
        <v>0</v>
      </c>
      <c r="E497" s="316">
        <v>0</v>
      </c>
      <c r="F497" s="316">
        <v>0</v>
      </c>
      <c r="G497" s="529">
        <f t="array" ref="G497">SUM(IF(CertFund&amp;CertProg&amp;CertObj=RIGHT(LEFT($A$2,7),2)&amp;LEFT(A494,4)&amp;B495,CertBen))</f>
        <v>0</v>
      </c>
      <c r="H497" s="527">
        <v>0</v>
      </c>
      <c r="I497" s="566">
        <f>SUM(G497+H497)</f>
        <v>0</v>
      </c>
    </row>
    <row r="498" spans="1:10" x14ac:dyDescent="0.15">
      <c r="A498" s="138"/>
      <c r="B498" s="521" t="s">
        <v>1578</v>
      </c>
      <c r="C498" s="138" t="s">
        <v>511</v>
      </c>
      <c r="D498" s="147">
        <v>0</v>
      </c>
      <c r="E498" s="147">
        <v>0</v>
      </c>
      <c r="F498" s="147">
        <v>0</v>
      </c>
      <c r="G498" s="147">
        <v>0</v>
      </c>
      <c r="H498" s="150">
        <v>0</v>
      </c>
      <c r="I498" s="567">
        <f>SUM(G498+H498)</f>
        <v>0</v>
      </c>
      <c r="J498" s="434"/>
    </row>
    <row r="499" spans="1:10" ht="10.5" customHeight="1" x14ac:dyDescent="0.15">
      <c r="B499" s="521" t="s">
        <v>1579</v>
      </c>
      <c r="C499" s="138" t="s">
        <v>118</v>
      </c>
      <c r="D499" s="147">
        <v>0</v>
      </c>
      <c r="E499" s="147">
        <v>0</v>
      </c>
      <c r="F499" s="147">
        <v>0</v>
      </c>
      <c r="G499" s="147">
        <v>0</v>
      </c>
      <c r="H499" s="291">
        <v>0</v>
      </c>
      <c r="I499" s="579">
        <f t="shared" ref="I499:I524" si="15">SUM(G499+H499)</f>
        <v>0</v>
      </c>
    </row>
    <row r="500" spans="1:10" ht="10.5" customHeight="1" x14ac:dyDescent="0.15">
      <c r="B500" s="521" t="s">
        <v>1580</v>
      </c>
      <c r="C500" s="138" t="s">
        <v>119</v>
      </c>
      <c r="D500" s="147">
        <v>0</v>
      </c>
      <c r="E500" s="147">
        <v>0</v>
      </c>
      <c r="F500" s="147">
        <v>0</v>
      </c>
      <c r="G500" s="147">
        <v>0</v>
      </c>
      <c r="H500" s="291">
        <v>0</v>
      </c>
      <c r="I500" s="579">
        <f t="shared" si="15"/>
        <v>0</v>
      </c>
    </row>
    <row r="501" spans="1:10" ht="10.5" customHeight="1" x14ac:dyDescent="0.15">
      <c r="B501" s="521" t="s">
        <v>120</v>
      </c>
      <c r="C501" s="138" t="s">
        <v>121</v>
      </c>
      <c r="D501" s="147">
        <v>0</v>
      </c>
      <c r="E501" s="147">
        <v>0</v>
      </c>
      <c r="F501" s="147">
        <v>0</v>
      </c>
      <c r="G501" s="147">
        <v>0</v>
      </c>
      <c r="H501" s="291">
        <v>0</v>
      </c>
      <c r="I501" s="579">
        <f t="shared" si="15"/>
        <v>0</v>
      </c>
    </row>
    <row r="502" spans="1:10" ht="10.5" customHeight="1" x14ac:dyDescent="0.15">
      <c r="B502" s="521" t="s">
        <v>122</v>
      </c>
      <c r="C502" s="138" t="s">
        <v>123</v>
      </c>
      <c r="D502" s="147">
        <v>0</v>
      </c>
      <c r="E502" s="147">
        <v>0</v>
      </c>
      <c r="F502" s="147">
        <v>0</v>
      </c>
      <c r="G502" s="147">
        <v>0</v>
      </c>
      <c r="H502" s="291">
        <v>0</v>
      </c>
      <c r="I502" s="579">
        <f t="shared" si="15"/>
        <v>0</v>
      </c>
    </row>
    <row r="503" spans="1:10" ht="10.5" customHeight="1" x14ac:dyDescent="0.15">
      <c r="B503" s="521" t="s">
        <v>1581</v>
      </c>
      <c r="C503" s="138" t="s">
        <v>124</v>
      </c>
      <c r="D503" s="147">
        <v>0</v>
      </c>
      <c r="E503" s="147">
        <v>0</v>
      </c>
      <c r="F503" s="147">
        <v>0</v>
      </c>
      <c r="G503" s="147">
        <v>0</v>
      </c>
      <c r="H503" s="291">
        <v>0</v>
      </c>
      <c r="I503" s="579">
        <f t="shared" si="15"/>
        <v>0</v>
      </c>
    </row>
    <row r="504" spans="1:10" ht="10.5" customHeight="1" x14ac:dyDescent="0.15">
      <c r="B504" s="521" t="s">
        <v>1625</v>
      </c>
      <c r="C504" s="138" t="s">
        <v>842</v>
      </c>
      <c r="D504" s="147">
        <v>0</v>
      </c>
      <c r="E504" s="147">
        <v>0</v>
      </c>
      <c r="F504" s="147">
        <v>0</v>
      </c>
      <c r="G504" s="147">
        <v>0</v>
      </c>
      <c r="H504" s="291">
        <v>0</v>
      </c>
      <c r="I504" s="579">
        <f t="shared" si="15"/>
        <v>0</v>
      </c>
    </row>
    <row r="505" spans="1:10" ht="10.5" customHeight="1" x14ac:dyDescent="0.15">
      <c r="B505" s="521" t="s">
        <v>843</v>
      </c>
      <c r="C505" s="138" t="s">
        <v>848</v>
      </c>
      <c r="D505" s="147">
        <v>0</v>
      </c>
      <c r="E505" s="147">
        <v>0</v>
      </c>
      <c r="F505" s="147">
        <v>0</v>
      </c>
      <c r="G505" s="147">
        <v>0</v>
      </c>
      <c r="H505" s="291">
        <v>0</v>
      </c>
      <c r="I505" s="579">
        <f t="shared" si="15"/>
        <v>0</v>
      </c>
    </row>
    <row r="506" spans="1:10" ht="10.5" customHeight="1" x14ac:dyDescent="0.15">
      <c r="B506" s="521" t="s">
        <v>844</v>
      </c>
      <c r="C506" s="138" t="s">
        <v>186</v>
      </c>
      <c r="D506" s="147">
        <v>0</v>
      </c>
      <c r="E506" s="147">
        <v>0</v>
      </c>
      <c r="F506" s="147">
        <v>0</v>
      </c>
      <c r="G506" s="147">
        <v>0</v>
      </c>
      <c r="H506" s="291">
        <v>0</v>
      </c>
      <c r="I506" s="579">
        <f t="shared" si="15"/>
        <v>0</v>
      </c>
    </row>
    <row r="507" spans="1:10" ht="10.5" customHeight="1" x14ac:dyDescent="0.15">
      <c r="B507" s="521" t="s">
        <v>845</v>
      </c>
      <c r="C507" s="138" t="s">
        <v>154</v>
      </c>
      <c r="D507" s="147">
        <v>0</v>
      </c>
      <c r="E507" s="147">
        <v>0</v>
      </c>
      <c r="F507" s="147">
        <v>0</v>
      </c>
      <c r="G507" s="147">
        <v>0</v>
      </c>
      <c r="H507" s="291">
        <v>0</v>
      </c>
      <c r="I507" s="579">
        <f t="shared" si="15"/>
        <v>0</v>
      </c>
    </row>
    <row r="508" spans="1:10" ht="10.5" customHeight="1" x14ac:dyDescent="0.15">
      <c r="B508" s="521" t="s">
        <v>846</v>
      </c>
      <c r="C508" s="138" t="s">
        <v>155</v>
      </c>
      <c r="D508" s="147">
        <v>0</v>
      </c>
      <c r="E508" s="147">
        <v>0</v>
      </c>
      <c r="F508" s="147">
        <v>0</v>
      </c>
      <c r="G508" s="147">
        <v>0</v>
      </c>
      <c r="H508" s="291">
        <v>0</v>
      </c>
      <c r="I508" s="579">
        <f t="shared" si="15"/>
        <v>0</v>
      </c>
    </row>
    <row r="509" spans="1:10" ht="10.5" customHeight="1" x14ac:dyDescent="0.15">
      <c r="B509" s="521" t="s">
        <v>1582</v>
      </c>
      <c r="C509" s="138" t="s">
        <v>156</v>
      </c>
      <c r="D509" s="147">
        <v>0</v>
      </c>
      <c r="E509" s="147">
        <v>0</v>
      </c>
      <c r="F509" s="147">
        <v>0</v>
      </c>
      <c r="G509" s="147">
        <v>0</v>
      </c>
      <c r="H509" s="291">
        <v>0</v>
      </c>
      <c r="I509" s="579">
        <f t="shared" si="15"/>
        <v>0</v>
      </c>
    </row>
    <row r="510" spans="1:10" ht="10.5" customHeight="1" x14ac:dyDescent="0.15">
      <c r="B510" s="521" t="s">
        <v>847</v>
      </c>
      <c r="C510" s="138" t="s">
        <v>157</v>
      </c>
      <c r="D510" s="147">
        <v>0</v>
      </c>
      <c r="E510" s="147">
        <v>0</v>
      </c>
      <c r="F510" s="147">
        <v>0</v>
      </c>
      <c r="G510" s="147">
        <v>0</v>
      </c>
      <c r="H510" s="291">
        <v>0</v>
      </c>
      <c r="I510" s="579">
        <f t="shared" si="15"/>
        <v>0</v>
      </c>
    </row>
    <row r="511" spans="1:10" ht="10.5" customHeight="1" x14ac:dyDescent="0.15">
      <c r="B511" s="521" t="s">
        <v>1583</v>
      </c>
      <c r="C511" s="138" t="s">
        <v>160</v>
      </c>
      <c r="D511" s="147">
        <v>0</v>
      </c>
      <c r="E511" s="147">
        <v>0</v>
      </c>
      <c r="F511" s="147">
        <v>0</v>
      </c>
      <c r="G511" s="147">
        <v>0</v>
      </c>
      <c r="H511" s="291">
        <v>0</v>
      </c>
      <c r="I511" s="579">
        <f t="shared" si="15"/>
        <v>0</v>
      </c>
    </row>
    <row r="512" spans="1:10" ht="10.5" customHeight="1" x14ac:dyDescent="0.15">
      <c r="B512" s="521" t="s">
        <v>200</v>
      </c>
      <c r="C512" s="138" t="s">
        <v>161</v>
      </c>
      <c r="D512" s="147">
        <v>0</v>
      </c>
      <c r="E512" s="147">
        <v>0</v>
      </c>
      <c r="F512" s="147">
        <v>0</v>
      </c>
      <c r="G512" s="147">
        <v>0</v>
      </c>
      <c r="H512" s="291">
        <v>0</v>
      </c>
      <c r="I512" s="579">
        <f t="shared" si="15"/>
        <v>0</v>
      </c>
    </row>
    <row r="513" spans="2:9" ht="10.5" customHeight="1" x14ac:dyDescent="0.15">
      <c r="B513" s="521" t="s">
        <v>201</v>
      </c>
      <c r="C513" s="138" t="s">
        <v>162</v>
      </c>
      <c r="D513" s="147">
        <v>0</v>
      </c>
      <c r="E513" s="147">
        <v>0</v>
      </c>
      <c r="F513" s="147">
        <v>0</v>
      </c>
      <c r="G513" s="147">
        <v>0</v>
      </c>
      <c r="H513" s="291">
        <v>0</v>
      </c>
      <c r="I513" s="579">
        <f t="shared" si="15"/>
        <v>0</v>
      </c>
    </row>
    <row r="514" spans="2:9" ht="10.5" customHeight="1" x14ac:dyDescent="0.15">
      <c r="B514" s="521" t="s">
        <v>158</v>
      </c>
      <c r="C514" s="138" t="s">
        <v>464</v>
      </c>
      <c r="D514" s="147">
        <v>0</v>
      </c>
      <c r="E514" s="147">
        <v>0</v>
      </c>
      <c r="F514" s="147">
        <v>0</v>
      </c>
      <c r="G514" s="147">
        <v>0</v>
      </c>
      <c r="H514" s="291">
        <v>0</v>
      </c>
      <c r="I514" s="579">
        <f t="shared" si="15"/>
        <v>0</v>
      </c>
    </row>
    <row r="515" spans="2:9" ht="10.5" customHeight="1" x14ac:dyDescent="0.15">
      <c r="B515" s="521" t="s">
        <v>159</v>
      </c>
      <c r="C515" s="138" t="s">
        <v>465</v>
      </c>
      <c r="D515" s="147">
        <v>0</v>
      </c>
      <c r="E515" s="147">
        <v>0</v>
      </c>
      <c r="F515" s="147">
        <v>0</v>
      </c>
      <c r="G515" s="147">
        <v>0</v>
      </c>
      <c r="H515" s="291">
        <v>0</v>
      </c>
      <c r="I515" s="579">
        <f t="shared" si="15"/>
        <v>0</v>
      </c>
    </row>
    <row r="516" spans="2:9" ht="10.5" customHeight="1" x14ac:dyDescent="0.15">
      <c r="B516" s="521" t="s">
        <v>466</v>
      </c>
      <c r="C516" s="138" t="s">
        <v>468</v>
      </c>
      <c r="D516" s="147">
        <v>0</v>
      </c>
      <c r="E516" s="147">
        <v>0</v>
      </c>
      <c r="F516" s="147">
        <v>0</v>
      </c>
      <c r="G516" s="147">
        <v>0</v>
      </c>
      <c r="H516" s="291">
        <v>0</v>
      </c>
      <c r="I516" s="579">
        <f t="shared" si="15"/>
        <v>0</v>
      </c>
    </row>
    <row r="517" spans="2:9" ht="10.5" customHeight="1" x14ac:dyDescent="0.15">
      <c r="B517" s="521" t="s">
        <v>634</v>
      </c>
      <c r="C517" s="138" t="s">
        <v>165</v>
      </c>
      <c r="D517" s="147">
        <v>0</v>
      </c>
      <c r="E517" s="147">
        <v>0</v>
      </c>
      <c r="F517" s="147">
        <v>0</v>
      </c>
      <c r="G517" s="147">
        <v>0</v>
      </c>
      <c r="H517" s="291">
        <v>0</v>
      </c>
      <c r="I517" s="579">
        <f t="shared" si="15"/>
        <v>0</v>
      </c>
    </row>
    <row r="518" spans="2:9" ht="10.5" customHeight="1" x14ac:dyDescent="0.15">
      <c r="B518" s="521" t="s">
        <v>202</v>
      </c>
      <c r="C518" s="138" t="s">
        <v>171</v>
      </c>
      <c r="D518" s="147">
        <v>0</v>
      </c>
      <c r="E518" s="147">
        <v>0</v>
      </c>
      <c r="F518" s="147">
        <v>0</v>
      </c>
      <c r="G518" s="147">
        <v>0</v>
      </c>
      <c r="H518" s="291">
        <v>0</v>
      </c>
      <c r="I518" s="579">
        <f t="shared" si="15"/>
        <v>0</v>
      </c>
    </row>
    <row r="519" spans="2:9" ht="10.5" customHeight="1" x14ac:dyDescent="0.15">
      <c r="B519" s="521" t="s">
        <v>630</v>
      </c>
      <c r="C519" s="138" t="s">
        <v>172</v>
      </c>
      <c r="D519" s="147">
        <v>0</v>
      </c>
      <c r="E519" s="147">
        <v>0</v>
      </c>
      <c r="F519" s="147">
        <v>0</v>
      </c>
      <c r="G519" s="147">
        <v>0</v>
      </c>
      <c r="H519" s="291">
        <v>0</v>
      </c>
      <c r="I519" s="579">
        <f t="shared" si="15"/>
        <v>0</v>
      </c>
    </row>
    <row r="520" spans="2:9" ht="10.5" customHeight="1" x14ac:dyDescent="0.15">
      <c r="B520" s="650" t="s">
        <v>631</v>
      </c>
      <c r="C520" s="651" t="s">
        <v>173</v>
      </c>
      <c r="D520" s="147">
        <v>0</v>
      </c>
      <c r="E520" s="147">
        <v>0</v>
      </c>
      <c r="F520" s="147">
        <v>0</v>
      </c>
      <c r="G520" s="147">
        <v>0</v>
      </c>
      <c r="H520" s="291">
        <v>0</v>
      </c>
      <c r="I520" s="579">
        <f t="shared" si="15"/>
        <v>0</v>
      </c>
    </row>
    <row r="521" spans="2:9" ht="10.5" customHeight="1" x14ac:dyDescent="0.15">
      <c r="B521" s="521" t="s">
        <v>1584</v>
      </c>
      <c r="C521" s="138" t="s">
        <v>178</v>
      </c>
      <c r="D521" s="147">
        <v>0</v>
      </c>
      <c r="E521" s="147">
        <v>0</v>
      </c>
      <c r="F521" s="147">
        <v>0</v>
      </c>
      <c r="G521" s="147">
        <v>0</v>
      </c>
      <c r="H521" s="291">
        <v>0</v>
      </c>
      <c r="I521" s="579">
        <f t="shared" si="15"/>
        <v>0</v>
      </c>
    </row>
    <row r="522" spans="2:9" ht="10.5" customHeight="1" x14ac:dyDescent="0.15">
      <c r="B522" s="521" t="s">
        <v>174</v>
      </c>
      <c r="C522" s="138" t="s">
        <v>179</v>
      </c>
      <c r="D522" s="147">
        <v>0</v>
      </c>
      <c r="E522" s="147">
        <v>0</v>
      </c>
      <c r="F522" s="147">
        <v>0</v>
      </c>
      <c r="G522" s="147">
        <v>0</v>
      </c>
      <c r="H522" s="291">
        <v>0</v>
      </c>
      <c r="I522" s="579">
        <f t="shared" si="15"/>
        <v>0</v>
      </c>
    </row>
    <row r="523" spans="2:9" ht="10.5" customHeight="1" x14ac:dyDescent="0.15">
      <c r="B523" s="521" t="s">
        <v>175</v>
      </c>
      <c r="C523" s="138" t="s">
        <v>180</v>
      </c>
      <c r="D523" s="147">
        <v>0</v>
      </c>
      <c r="E523" s="147">
        <v>0</v>
      </c>
      <c r="F523" s="147">
        <v>0</v>
      </c>
      <c r="G523" s="147">
        <v>0</v>
      </c>
      <c r="H523" s="291">
        <v>0</v>
      </c>
      <c r="I523" s="579">
        <f t="shared" si="15"/>
        <v>0</v>
      </c>
    </row>
    <row r="524" spans="2:9" ht="10.5" customHeight="1" thickBot="1" x14ac:dyDescent="0.2">
      <c r="B524" s="521" t="s">
        <v>176</v>
      </c>
      <c r="C524" s="138" t="s">
        <v>181</v>
      </c>
      <c r="D524" s="147">
        <v>0</v>
      </c>
      <c r="E524" s="147">
        <v>0</v>
      </c>
      <c r="F524" s="147">
        <v>0</v>
      </c>
      <c r="G524" s="147">
        <v>0</v>
      </c>
      <c r="H524" s="291">
        <v>0</v>
      </c>
      <c r="I524" s="579">
        <f t="shared" si="15"/>
        <v>0</v>
      </c>
    </row>
    <row r="525" spans="2:9" ht="10.5" customHeight="1" thickTop="1" thickBot="1" x14ac:dyDescent="0.2">
      <c r="B525" s="521"/>
      <c r="C525" s="138" t="s">
        <v>672</v>
      </c>
      <c r="D525" s="169">
        <f>SUM(D495:D524)</f>
        <v>0</v>
      </c>
      <c r="E525" s="169">
        <f>SUM(E495:E524)</f>
        <v>0</v>
      </c>
      <c r="F525" s="169">
        <f>SUM(F495:F524)</f>
        <v>0</v>
      </c>
      <c r="G525" s="169">
        <f>SUM(G495:G524)</f>
        <v>0</v>
      </c>
      <c r="H525" s="169">
        <f>SUM(H495:H524)</f>
        <v>0</v>
      </c>
      <c r="I525" s="169">
        <f>G525+H525</f>
        <v>0</v>
      </c>
    </row>
    <row r="526" spans="2:9" ht="10.5" customHeight="1" thickTop="1" thickBot="1" x14ac:dyDescent="0.2">
      <c r="B526" s="138"/>
      <c r="C526" s="138"/>
      <c r="D526" s="14"/>
      <c r="E526" s="14"/>
      <c r="F526" s="14"/>
      <c r="G526" s="14"/>
      <c r="H526" s="198"/>
      <c r="I526" s="170"/>
    </row>
    <row r="527" spans="2:9" ht="10.5" customHeight="1" thickTop="1" thickBot="1" x14ac:dyDescent="0.2">
      <c r="B527" s="138" t="s">
        <v>1501</v>
      </c>
      <c r="D527" s="169">
        <f>D44+D81+D118+D149+D187+D218+D251+D291+D323+D353+D384+D407+D430+D461+D492+D525</f>
        <v>0</v>
      </c>
      <c r="E527" s="169">
        <f>E44+E81+E118+E149+E187+E218+E251+E291+E323+E353+E384+E407+E430+E461+E492+E525</f>
        <v>0</v>
      </c>
      <c r="F527" s="169">
        <f>F44+F81+F118+F149+F187+F218+F251+F291+F323+F353+F384+F407+F430+F461+F492+F525</f>
        <v>0</v>
      </c>
      <c r="G527" s="169">
        <f>G44+G81+G118+G149+G187+G218+G251+G291+G323+G353+G384+G407+G430+G461+G492+G525</f>
        <v>0</v>
      </c>
      <c r="H527" s="169">
        <f>H44+H81+H118+H149+H187+H218+H251+H291+H323+H353+H384+H407+H430+H461+H492+H525</f>
        <v>0</v>
      </c>
      <c r="I527" s="169">
        <f>G527+H527</f>
        <v>0</v>
      </c>
    </row>
    <row r="528" spans="2:9" ht="10.5" customHeight="1" thickTop="1" thickBot="1" x14ac:dyDescent="0.2">
      <c r="D528" s="498"/>
      <c r="E528" s="498"/>
      <c r="F528" s="498"/>
      <c r="G528" s="498"/>
      <c r="H528" s="498"/>
      <c r="I528" s="159"/>
    </row>
    <row r="529" spans="1:9" ht="10.5" customHeight="1" thickTop="1" thickBot="1" x14ac:dyDescent="0.2">
      <c r="B529" s="512" t="s">
        <v>254</v>
      </c>
      <c r="D529" s="169">
        <f>CharterFundExp!D1074+CharterFundExp2!D527</f>
        <v>0</v>
      </c>
      <c r="E529" s="169">
        <f>CharterFundExp!E1074+CharterFundExp2!E527</f>
        <v>0</v>
      </c>
      <c r="F529" s="169">
        <f>CharterFundExp!F1074+CharterFundExp2!F527</f>
        <v>0</v>
      </c>
      <c r="G529" s="169">
        <f>CharterFundExp!G1074+CharterFundExp2!G527</f>
        <v>0</v>
      </c>
      <c r="H529" s="169">
        <f>CharterFundExp!H1074+CharterFundExp2!H527</f>
        <v>0</v>
      </c>
      <c r="I529" s="169">
        <f>G529+H529</f>
        <v>0</v>
      </c>
    </row>
    <row r="530" spans="1:9" ht="10.5" customHeight="1" thickTop="1" x14ac:dyDescent="0.15">
      <c r="D530" s="498"/>
      <c r="E530" s="498"/>
      <c r="F530" s="498"/>
      <c r="G530" s="498"/>
      <c r="H530" s="498"/>
      <c r="I530" s="159"/>
    </row>
    <row r="531" spans="1:9" ht="10.5" customHeight="1" x14ac:dyDescent="0.15">
      <c r="A531" s="507" t="s">
        <v>391</v>
      </c>
      <c r="D531" s="498"/>
      <c r="E531" s="498"/>
      <c r="F531" s="498"/>
      <c r="G531" s="498"/>
      <c r="H531" s="498"/>
      <c r="I531" s="159"/>
    </row>
    <row r="532" spans="1:9" ht="10.5" customHeight="1" x14ac:dyDescent="0.15">
      <c r="A532" s="512" t="s">
        <v>736</v>
      </c>
      <c r="D532" s="147">
        <v>0</v>
      </c>
      <c r="E532" s="147">
        <v>0</v>
      </c>
      <c r="F532" s="147">
        <v>0</v>
      </c>
      <c r="G532" s="147">
        <v>0</v>
      </c>
      <c r="H532" s="291">
        <v>0</v>
      </c>
      <c r="I532" s="579">
        <f>SUM(G532+H532)</f>
        <v>0</v>
      </c>
    </row>
    <row r="533" spans="1:9" ht="10.5" customHeight="1" x14ac:dyDescent="0.15">
      <c r="A533" s="512" t="s">
        <v>728</v>
      </c>
      <c r="C533" s="138"/>
      <c r="I533" s="167"/>
    </row>
    <row r="534" spans="1:9" ht="10.5" customHeight="1" x14ac:dyDescent="0.15">
      <c r="B534" s="511" t="s">
        <v>434</v>
      </c>
      <c r="C534" s="138" t="s">
        <v>413</v>
      </c>
      <c r="D534" s="147">
        <v>0</v>
      </c>
      <c r="E534" s="147">
        <v>0</v>
      </c>
      <c r="F534" s="147">
        <v>0</v>
      </c>
      <c r="G534" s="147">
        <v>0</v>
      </c>
      <c r="H534" s="291">
        <v>0</v>
      </c>
      <c r="I534" s="579">
        <f>SUM(G534+H534)</f>
        <v>0</v>
      </c>
    </row>
    <row r="535" spans="1:9" ht="10.5" customHeight="1" x14ac:dyDescent="0.15">
      <c r="B535" s="511" t="s">
        <v>433</v>
      </c>
      <c r="C535" s="138" t="s">
        <v>414</v>
      </c>
      <c r="D535" s="161">
        <v>0</v>
      </c>
      <c r="E535" s="161">
        <v>0</v>
      </c>
      <c r="F535" s="161">
        <v>0</v>
      </c>
      <c r="G535" s="161">
        <v>0</v>
      </c>
      <c r="H535" s="291">
        <v>0</v>
      </c>
      <c r="I535" s="579">
        <f>SUM(G535+H535)</f>
        <v>0</v>
      </c>
    </row>
    <row r="536" spans="1:9" ht="10.5" customHeight="1" x14ac:dyDescent="0.15">
      <c r="A536" s="495" t="s">
        <v>857</v>
      </c>
      <c r="B536" s="511"/>
      <c r="C536" s="138"/>
      <c r="D536" s="161"/>
      <c r="E536" s="161"/>
      <c r="F536" s="161"/>
      <c r="G536" s="161"/>
      <c r="H536" s="291"/>
      <c r="I536" s="579"/>
    </row>
    <row r="537" spans="1:9" ht="10.5" customHeight="1" thickBot="1" x14ac:dyDescent="0.2">
      <c r="B537" s="511"/>
      <c r="C537" s="658" t="s">
        <v>858</v>
      </c>
      <c r="D537" s="661">
        <f>+CharterFundRev!D111+CharterFundRev!D115+CharterFundRev!D116+CharterFundRev!D117</f>
        <v>0</v>
      </c>
      <c r="E537" s="661">
        <f>+CharterFundRev!E111+CharterFundRev!E115+CharterFundRev!E116+CharterFundRev!E117</f>
        <v>0</v>
      </c>
      <c r="F537" s="661">
        <f>+CharterFundRev!F111+CharterFundRev!F115+CharterFundRev!F116+CharterFundRev!F117</f>
        <v>0</v>
      </c>
      <c r="G537" s="661">
        <f>+CharterFundRev!G111+CharterFundRev!G115+CharterFundRev!G116+CharterFundRev!G117</f>
        <v>0</v>
      </c>
      <c r="H537" s="661">
        <f>+CharterFundRev!H111+CharterFundRev!H115+CharterFundRev!H116+CharterFundRev!H117</f>
        <v>0</v>
      </c>
      <c r="I537" s="661">
        <f>+CharterFundRev!I111+CharterFundRev!I115+CharterFundRev!I116+CharterFundRev!I117</f>
        <v>0</v>
      </c>
    </row>
    <row r="538" spans="1:9" ht="10.5" customHeight="1" thickTop="1" thickBot="1" x14ac:dyDescent="0.2">
      <c r="A538" s="512"/>
      <c r="C538" s="138" t="s">
        <v>1275</v>
      </c>
      <c r="D538" s="173">
        <f>SUM(D532:D537)</f>
        <v>0</v>
      </c>
      <c r="E538" s="173">
        <f>SUM(E532:E537)</f>
        <v>0</v>
      </c>
      <c r="F538" s="173">
        <f>SUM(F532:F537)</f>
        <v>0</v>
      </c>
      <c r="G538" s="173">
        <f>SUM(G532:G537)</f>
        <v>0</v>
      </c>
      <c r="H538" s="173">
        <f>SUM(H532:H537)</f>
        <v>0</v>
      </c>
      <c r="I538" s="173">
        <f>G538+H538</f>
        <v>0</v>
      </c>
    </row>
    <row r="539" spans="1:9" ht="10.5" customHeight="1" thickTop="1" thickBot="1" x14ac:dyDescent="0.2">
      <c r="A539" s="512"/>
      <c r="C539" s="138"/>
      <c r="D539" s="14"/>
      <c r="E539" s="14"/>
      <c r="F539" s="14"/>
      <c r="G539" s="14"/>
      <c r="I539" s="167"/>
    </row>
    <row r="540" spans="1:9" ht="10.5" customHeight="1" thickTop="1" thickBot="1" x14ac:dyDescent="0.2">
      <c r="B540" s="512" t="s">
        <v>729</v>
      </c>
      <c r="D540" s="173">
        <f>D529+D538</f>
        <v>0</v>
      </c>
      <c r="E540" s="173">
        <f>E529+E538</f>
        <v>0</v>
      </c>
      <c r="F540" s="173">
        <f>F529+F538</f>
        <v>0</v>
      </c>
      <c r="G540" s="173">
        <f>G529+G538</f>
        <v>0</v>
      </c>
      <c r="H540" s="173">
        <f>H529+H538</f>
        <v>0</v>
      </c>
      <c r="I540" s="173">
        <f>G540+H540</f>
        <v>0</v>
      </c>
    </row>
    <row r="541" spans="1:9" ht="10.5" customHeight="1" thickTop="1" x14ac:dyDescent="0.15">
      <c r="D541" s="498"/>
      <c r="E541" s="498"/>
      <c r="F541" s="498"/>
      <c r="G541" s="498"/>
      <c r="H541" s="498"/>
      <c r="I541" s="159"/>
    </row>
    <row r="542" spans="1:9" ht="10.5" customHeight="1" x14ac:dyDescent="0.15">
      <c r="A542" s="556" t="s">
        <v>110</v>
      </c>
      <c r="C542" s="557" t="s">
        <v>737</v>
      </c>
      <c r="D542" s="498"/>
      <c r="E542" s="498"/>
      <c r="F542" s="498"/>
      <c r="G542" s="498"/>
      <c r="H542" s="498"/>
      <c r="I542" s="159"/>
    </row>
    <row r="543" spans="1:9" ht="10.5" customHeight="1" x14ac:dyDescent="0.15">
      <c r="A543" s="558" t="s">
        <v>1522</v>
      </c>
      <c r="C543" s="138" t="s">
        <v>1516</v>
      </c>
      <c r="D543" s="41">
        <v>0</v>
      </c>
      <c r="E543" s="41">
        <v>0</v>
      </c>
      <c r="F543" s="41">
        <v>0</v>
      </c>
      <c r="G543" s="41">
        <v>0</v>
      </c>
      <c r="H543" s="291">
        <v>0</v>
      </c>
      <c r="I543" s="579">
        <f>SUM(G543+H543)</f>
        <v>0</v>
      </c>
    </row>
    <row r="544" spans="1:9" ht="10.5" customHeight="1" x14ac:dyDescent="0.15">
      <c r="A544" s="558" t="s">
        <v>1523</v>
      </c>
      <c r="C544" s="138" t="s">
        <v>1517</v>
      </c>
      <c r="D544" s="41">
        <v>0</v>
      </c>
      <c r="E544" s="41">
        <v>0</v>
      </c>
      <c r="F544" s="41">
        <v>0</v>
      </c>
      <c r="G544" s="41">
        <v>0</v>
      </c>
      <c r="H544" s="291">
        <v>0</v>
      </c>
      <c r="I544" s="579">
        <f>SUM(G544+H544)</f>
        <v>0</v>
      </c>
    </row>
    <row r="545" spans="1:9" ht="10.5" customHeight="1" x14ac:dyDescent="0.15">
      <c r="A545" s="558" t="s">
        <v>1524</v>
      </c>
      <c r="C545" s="138" t="s">
        <v>1518</v>
      </c>
      <c r="D545" s="41">
        <v>0</v>
      </c>
      <c r="E545" s="41">
        <v>0</v>
      </c>
      <c r="F545" s="41">
        <v>0</v>
      </c>
      <c r="G545" s="41">
        <v>0</v>
      </c>
      <c r="H545" s="291">
        <v>0</v>
      </c>
      <c r="I545" s="579">
        <f>SUM(G545+H545)</f>
        <v>0</v>
      </c>
    </row>
    <row r="546" spans="1:9" ht="10.5" customHeight="1" x14ac:dyDescent="0.15">
      <c r="A546" s="558" t="s">
        <v>1525</v>
      </c>
      <c r="C546" s="138" t="s">
        <v>1519</v>
      </c>
      <c r="D546" s="41">
        <v>0</v>
      </c>
      <c r="E546" s="41">
        <v>0</v>
      </c>
      <c r="F546" s="41">
        <v>0</v>
      </c>
      <c r="G546" s="41">
        <v>0</v>
      </c>
      <c r="H546" s="291">
        <v>0</v>
      </c>
      <c r="I546" s="579">
        <f>SUM(G546+H546)</f>
        <v>0</v>
      </c>
    </row>
    <row r="547" spans="1:9" ht="10.5" customHeight="1" thickBot="1" x14ac:dyDescent="0.2">
      <c r="A547" s="558" t="s">
        <v>1526</v>
      </c>
      <c r="C547" s="138" t="s">
        <v>1520</v>
      </c>
      <c r="D547" s="150">
        <v>0</v>
      </c>
      <c r="E547" s="150">
        <v>0</v>
      </c>
      <c r="F547" s="150">
        <v>0</v>
      </c>
      <c r="G547" s="150">
        <v>0</v>
      </c>
      <c r="H547" s="291">
        <v>0</v>
      </c>
      <c r="I547" s="579">
        <f>SUM(G547+H547)</f>
        <v>0</v>
      </c>
    </row>
    <row r="548" spans="1:9" ht="10.5" customHeight="1" thickTop="1" thickBot="1" x14ac:dyDescent="0.2">
      <c r="A548" s="559"/>
      <c r="C548" s="138" t="s">
        <v>724</v>
      </c>
      <c r="D548" s="169">
        <f>SUM(D543:D547)</f>
        <v>0</v>
      </c>
      <c r="E548" s="169">
        <f>SUM(E543:E547)</f>
        <v>0</v>
      </c>
      <c r="F548" s="169">
        <f>SUM(F543:F547)</f>
        <v>0</v>
      </c>
      <c r="G548" s="169">
        <f>SUM(G543:G547)</f>
        <v>0</v>
      </c>
      <c r="H548" s="169">
        <f>SUM(H543:H547)</f>
        <v>0</v>
      </c>
      <c r="I548" s="169">
        <f>G548+H548</f>
        <v>0</v>
      </c>
    </row>
    <row r="549" spans="1:9" ht="10.5" customHeight="1" thickTop="1" thickBot="1" x14ac:dyDescent="0.2">
      <c r="A549" s="559"/>
      <c r="C549" s="138"/>
      <c r="D549" s="498"/>
      <c r="E549" s="498"/>
      <c r="F549" s="498"/>
      <c r="G549" s="498"/>
      <c r="H549" s="14"/>
      <c r="I549" s="563"/>
    </row>
    <row r="550" spans="1:9" ht="10.5" customHeight="1" thickBot="1" x14ac:dyDescent="0.2">
      <c r="B550" s="512" t="s">
        <v>723</v>
      </c>
      <c r="D550" s="171">
        <f>D540+D548</f>
        <v>0</v>
      </c>
      <c r="E550" s="171">
        <f>E540+E548</f>
        <v>0</v>
      </c>
      <c r="F550" s="171">
        <f>F540+F548</f>
        <v>0</v>
      </c>
      <c r="G550" s="171">
        <f>G540+G548</f>
        <v>0</v>
      </c>
      <c r="H550" s="171">
        <f>H540+H548</f>
        <v>0</v>
      </c>
      <c r="I550" s="171">
        <f>G550+H550</f>
        <v>0</v>
      </c>
    </row>
    <row r="551" spans="1:9" ht="10.5" customHeight="1" x14ac:dyDescent="0.15">
      <c r="A551" s="559"/>
      <c r="C551" s="138" t="s">
        <v>725</v>
      </c>
      <c r="D551" s="498"/>
      <c r="E551" s="498"/>
      <c r="F551" s="498"/>
      <c r="G551" s="498"/>
      <c r="H551" s="14"/>
      <c r="I551" s="563"/>
    </row>
    <row r="552" spans="1:9" ht="10.5" customHeight="1" x14ac:dyDescent="0.15">
      <c r="A552" s="559"/>
      <c r="C552" s="138"/>
      <c r="D552" s="498"/>
      <c r="E552" s="498"/>
      <c r="F552" s="498"/>
      <c r="G552" s="498"/>
      <c r="H552" s="14"/>
      <c r="I552" s="563"/>
    </row>
    <row r="553" spans="1:9" ht="10.5" customHeight="1" x14ac:dyDescent="0.15">
      <c r="C553" s="557" t="s">
        <v>738</v>
      </c>
      <c r="D553" s="498"/>
      <c r="E553" s="498"/>
      <c r="F553" s="498"/>
      <c r="G553" s="498"/>
      <c r="H553" s="14"/>
      <c r="I553" s="563"/>
    </row>
    <row r="554" spans="1:9" x14ac:dyDescent="0.15">
      <c r="A554" s="511" t="s">
        <v>633</v>
      </c>
      <c r="C554" s="510" t="s">
        <v>1504</v>
      </c>
      <c r="D554" s="41">
        <v>0</v>
      </c>
      <c r="E554" s="41">
        <v>0</v>
      </c>
      <c r="F554" s="41">
        <v>0</v>
      </c>
      <c r="G554" s="41">
        <v>0</v>
      </c>
      <c r="H554" s="41">
        <v>0</v>
      </c>
      <c r="I554" s="564">
        <f>G554+H554</f>
        <v>0</v>
      </c>
    </row>
    <row r="555" spans="1:9" ht="10.5" customHeight="1" thickBot="1" x14ac:dyDescent="0.2">
      <c r="C555" s="560" t="s">
        <v>1503</v>
      </c>
      <c r="I555" s="167"/>
    </row>
    <row r="556" spans="1:9" ht="10.5" customHeight="1" thickBot="1" x14ac:dyDescent="0.2">
      <c r="B556" s="512" t="s">
        <v>730</v>
      </c>
      <c r="D556" s="212">
        <f>D550+D554</f>
        <v>0</v>
      </c>
      <c r="E556" s="212">
        <f>E550+E554</f>
        <v>0</v>
      </c>
      <c r="F556" s="212">
        <f>F550+F554</f>
        <v>0</v>
      </c>
      <c r="G556" s="212">
        <f>G550+G554</f>
        <v>0</v>
      </c>
      <c r="H556" s="212">
        <f>H550+H554</f>
        <v>0</v>
      </c>
      <c r="I556" s="212">
        <f>G556+H556</f>
        <v>0</v>
      </c>
    </row>
    <row r="557" spans="1:9" ht="10.5" customHeight="1" thickBot="1" x14ac:dyDescent="0.2">
      <c r="C557" s="138"/>
      <c r="D557" s="498"/>
      <c r="E557" s="498"/>
      <c r="F557" s="498"/>
      <c r="G557" s="498"/>
      <c r="H557" s="14"/>
      <c r="I557" s="563"/>
    </row>
    <row r="558" spans="1:9" ht="10.5" customHeight="1" thickTop="1" thickBot="1" x14ac:dyDescent="0.2">
      <c r="C558" s="562" t="s">
        <v>726</v>
      </c>
      <c r="D558" s="173">
        <f>CharterFundRev!D108</f>
        <v>0</v>
      </c>
      <c r="E558" s="173">
        <f>CharterFundRev!E108</f>
        <v>0</v>
      </c>
      <c r="F558" s="173">
        <f>CharterFundRev!F108</f>
        <v>0</v>
      </c>
      <c r="G558" s="173">
        <f>CharterFundRev!G108</f>
        <v>0</v>
      </c>
      <c r="H558" s="173">
        <f>CharterFundRev!H108</f>
        <v>0</v>
      </c>
      <c r="I558" s="173">
        <f>G558+H558</f>
        <v>0</v>
      </c>
    </row>
    <row r="559" spans="1:9" ht="10.5" customHeight="1" thickTop="1" x14ac:dyDescent="0.15">
      <c r="D559" s="8"/>
      <c r="E559" s="8"/>
      <c r="F559" s="8"/>
      <c r="G559" s="8"/>
      <c r="H559" s="198"/>
      <c r="I559" s="170"/>
    </row>
    <row r="560" spans="1:9" ht="10.5" customHeight="1" x14ac:dyDescent="0.15">
      <c r="C560" s="562" t="s">
        <v>727</v>
      </c>
      <c r="D560" s="167">
        <f>D556-D558</f>
        <v>0</v>
      </c>
      <c r="E560" s="167">
        <f>E556-E558</f>
        <v>0</v>
      </c>
      <c r="F560" s="167">
        <f>F556-F558</f>
        <v>0</v>
      </c>
      <c r="G560" s="167">
        <f>G556-G558</f>
        <v>0</v>
      </c>
      <c r="H560" s="167">
        <f>H556-H558</f>
        <v>0</v>
      </c>
      <c r="I560" s="167">
        <f>G560+H560</f>
        <v>0</v>
      </c>
    </row>
    <row r="561" spans="3:9" ht="10.5" customHeight="1" x14ac:dyDescent="0.15">
      <c r="I561" s="167"/>
    </row>
    <row r="562" spans="3:9" ht="10.5" customHeight="1" x14ac:dyDescent="0.15">
      <c r="I562" s="167"/>
    </row>
    <row r="563" spans="3:9" ht="10.5" customHeight="1" x14ac:dyDescent="0.15">
      <c r="C563" s="138"/>
    </row>
  </sheetData>
  <sheetProtection password="CB03" sheet="1" formatCells="0" formatColumns="0" formatRows="0"/>
  <phoneticPr fontId="15" type="noConversion"/>
  <pageMargins left="0.75" right="0.75" top="1" bottom="1" header="0.5" footer="0.5"/>
  <pageSetup scale="59" orientation="portrait" r:id="rId1"/>
  <headerFooter alignWithMargins="0">
    <oddFooter>&amp;LCDE, Public School Finance Unit&amp;C&amp;P&amp;RRevised, March 2009</oddFooter>
  </headerFooter>
  <rowBreaks count="4" manualBreakCount="4">
    <brk id="82" max="16383" man="1"/>
    <brk id="188" max="16383" man="1"/>
    <brk id="292" max="16383" man="1"/>
    <brk id="38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opLeftCell="A19" workbookViewId="0">
      <selection activeCell="D4" sqref="D4"/>
    </sheetView>
  </sheetViews>
  <sheetFormatPr defaultRowHeight="10.5" x14ac:dyDescent="0.15"/>
  <cols>
    <col min="1" max="1" width="9" style="423" customWidth="1"/>
    <col min="2" max="2" width="4.83203125" style="423" customWidth="1"/>
    <col min="3" max="3" width="70.83203125" style="423" customWidth="1"/>
    <col min="4" max="4" width="15.83203125" style="423" customWidth="1"/>
    <col min="5" max="5" width="14.1640625" style="423" bestFit="1" customWidth="1"/>
    <col min="6" max="6" width="14" style="423" bestFit="1" customWidth="1"/>
    <col min="7" max="7" width="15.83203125" style="423" customWidth="1"/>
    <col min="8" max="8" width="15.1640625" style="423" customWidth="1"/>
    <col min="9" max="9" width="17.33203125" style="423" customWidth="1"/>
    <col min="10" max="16384" width="9.33203125" style="423"/>
  </cols>
  <sheetData>
    <row r="1" spans="1:9" x14ac:dyDescent="0.15">
      <c r="A1" s="423" t="s">
        <v>106</v>
      </c>
      <c r="C1" s="138">
        <f>+'Page 1 - FY2014-15'!B5</f>
        <v>0</v>
      </c>
      <c r="D1" s="423" t="s">
        <v>1586</v>
      </c>
      <c r="E1" s="428">
        <f>+'Page 1 - FY2014-15'!F7</f>
        <v>0</v>
      </c>
      <c r="G1" s="485" t="s">
        <v>1588</v>
      </c>
    </row>
    <row r="2" spans="1:9" x14ac:dyDescent="0.15">
      <c r="A2" s="515" t="s">
        <v>107</v>
      </c>
    </row>
    <row r="3" spans="1:9" ht="42" x14ac:dyDescent="0.15">
      <c r="A3" s="515"/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A4" s="515"/>
      <c r="D4" s="491"/>
      <c r="E4" s="491"/>
      <c r="F4" s="491"/>
      <c r="G4" s="491"/>
      <c r="H4" s="492" t="s">
        <v>193</v>
      </c>
      <c r="I4" s="492" t="s">
        <v>192</v>
      </c>
    </row>
    <row r="5" spans="1:9" ht="11.25" thickBot="1" x14ac:dyDescent="0.2">
      <c r="D5" s="491"/>
      <c r="E5" s="491"/>
      <c r="F5" s="491"/>
      <c r="G5" s="491"/>
      <c r="I5" s="167"/>
    </row>
    <row r="6" spans="1:9" ht="11.25" thickBot="1" x14ac:dyDescent="0.2">
      <c r="A6" s="512" t="s">
        <v>195</v>
      </c>
      <c r="B6" s="512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G6+H6</f>
        <v>0</v>
      </c>
    </row>
    <row r="7" spans="1:9" x14ac:dyDescent="0.15">
      <c r="A7" s="580" t="s">
        <v>1592</v>
      </c>
      <c r="C7" s="557" t="s">
        <v>196</v>
      </c>
      <c r="E7" s="498"/>
      <c r="F7" s="498"/>
      <c r="G7" s="498"/>
      <c r="I7" s="167"/>
    </row>
    <row r="8" spans="1:9" x14ac:dyDescent="0.15">
      <c r="A8" s="138" t="s">
        <v>1595</v>
      </c>
      <c r="B8" s="511" t="s">
        <v>1159</v>
      </c>
      <c r="C8" s="138" t="s">
        <v>206</v>
      </c>
      <c r="D8" s="41">
        <v>0</v>
      </c>
      <c r="E8" s="41">
        <v>0</v>
      </c>
      <c r="F8" s="41">
        <v>0</v>
      </c>
      <c r="G8" s="41">
        <v>0</v>
      </c>
      <c r="H8" s="532">
        <v>0</v>
      </c>
      <c r="I8" s="564">
        <f>SUM(G8+H8)</f>
        <v>0</v>
      </c>
    </row>
    <row r="9" spans="1:9" x14ac:dyDescent="0.15">
      <c r="A9" s="138" t="s">
        <v>1596</v>
      </c>
      <c r="B9" s="511" t="s">
        <v>1160</v>
      </c>
      <c r="C9" s="138" t="s">
        <v>257</v>
      </c>
      <c r="D9" s="41">
        <v>0</v>
      </c>
      <c r="E9" s="41">
        <v>0</v>
      </c>
      <c r="F9" s="41">
        <v>0</v>
      </c>
      <c r="G9" s="41">
        <v>0</v>
      </c>
      <c r="H9" s="532">
        <v>0</v>
      </c>
      <c r="I9" s="564">
        <f t="shared" ref="I9:I14" si="0">SUM(G9+H9)</f>
        <v>0</v>
      </c>
    </row>
    <row r="10" spans="1:9" x14ac:dyDescent="0.15">
      <c r="A10" s="138" t="s">
        <v>1602</v>
      </c>
      <c r="B10" s="511" t="s">
        <v>1161</v>
      </c>
      <c r="C10" s="138" t="s">
        <v>443</v>
      </c>
      <c r="D10" s="41">
        <v>0</v>
      </c>
      <c r="E10" s="41">
        <v>0</v>
      </c>
      <c r="F10" s="41">
        <v>0</v>
      </c>
      <c r="G10" s="41">
        <v>0</v>
      </c>
      <c r="H10" s="532">
        <v>0</v>
      </c>
      <c r="I10" s="564">
        <f t="shared" si="0"/>
        <v>0</v>
      </c>
    </row>
    <row r="11" spans="1:9" x14ac:dyDescent="0.15">
      <c r="A11" s="138" t="s">
        <v>97</v>
      </c>
      <c r="B11" s="511" t="s">
        <v>1228</v>
      </c>
      <c r="C11" s="138" t="s">
        <v>452</v>
      </c>
      <c r="D11" s="41">
        <v>0</v>
      </c>
      <c r="E11" s="41">
        <v>0</v>
      </c>
      <c r="F11" s="41">
        <v>0</v>
      </c>
      <c r="G11" s="41">
        <v>0</v>
      </c>
      <c r="H11" s="532">
        <v>0</v>
      </c>
      <c r="I11" s="564">
        <f t="shared" si="0"/>
        <v>0</v>
      </c>
    </row>
    <row r="12" spans="1:9" x14ac:dyDescent="0.15">
      <c r="A12" s="425" t="s">
        <v>105</v>
      </c>
      <c r="B12" s="511" t="s">
        <v>1229</v>
      </c>
      <c r="C12" s="2" t="s">
        <v>860</v>
      </c>
      <c r="D12" s="41">
        <v>0</v>
      </c>
      <c r="E12" s="41">
        <v>0</v>
      </c>
      <c r="F12" s="41">
        <v>0</v>
      </c>
      <c r="G12" s="41">
        <v>0</v>
      </c>
      <c r="H12" s="532">
        <v>0</v>
      </c>
      <c r="I12" s="564">
        <f t="shared" si="0"/>
        <v>0</v>
      </c>
    </row>
    <row r="13" spans="1:9" x14ac:dyDescent="0.15">
      <c r="A13" s="138" t="s">
        <v>197</v>
      </c>
      <c r="B13" s="511" t="s">
        <v>1230</v>
      </c>
      <c r="C13" s="716" t="s">
        <v>893</v>
      </c>
      <c r="D13" s="41">
        <v>0</v>
      </c>
      <c r="E13" s="41">
        <v>0</v>
      </c>
      <c r="F13" s="41">
        <v>0</v>
      </c>
      <c r="G13" s="41">
        <v>0</v>
      </c>
      <c r="H13" s="532">
        <v>0</v>
      </c>
      <c r="I13" s="564">
        <f t="shared" si="0"/>
        <v>0</v>
      </c>
    </row>
    <row r="14" spans="1:9" x14ac:dyDescent="0.15">
      <c r="B14" s="511" t="s">
        <v>1231</v>
      </c>
      <c r="C14" s="138" t="s">
        <v>212</v>
      </c>
      <c r="D14" s="41">
        <v>0</v>
      </c>
      <c r="E14" s="41">
        <v>0</v>
      </c>
      <c r="F14" s="41">
        <v>0</v>
      </c>
      <c r="G14" s="41">
        <v>0</v>
      </c>
      <c r="H14" s="532">
        <v>0</v>
      </c>
      <c r="I14" s="564">
        <f t="shared" si="0"/>
        <v>0</v>
      </c>
    </row>
    <row r="15" spans="1:9" ht="11.25" thickBot="1" x14ac:dyDescent="0.2">
      <c r="B15" s="511"/>
      <c r="C15" s="138"/>
      <c r="D15" s="14"/>
      <c r="E15" s="14"/>
      <c r="F15" s="14"/>
      <c r="G15" s="14"/>
      <c r="I15" s="167"/>
    </row>
    <row r="16" spans="1:9" ht="12" thickTop="1" thickBot="1" x14ac:dyDescent="0.2">
      <c r="B16" s="511" t="s">
        <v>1232</v>
      </c>
      <c r="C16" s="512" t="s">
        <v>1158</v>
      </c>
      <c r="D16" s="151">
        <f t="shared" ref="D16:I16" si="1">SUM(D8:D14)</f>
        <v>0</v>
      </c>
      <c r="E16" s="151">
        <f t="shared" si="1"/>
        <v>0</v>
      </c>
      <c r="F16" s="151">
        <f t="shared" si="1"/>
        <v>0</v>
      </c>
      <c r="G16" s="151">
        <f t="shared" si="1"/>
        <v>0</v>
      </c>
      <c r="H16" s="151">
        <f t="shared" si="1"/>
        <v>0</v>
      </c>
      <c r="I16" s="169">
        <f t="shared" si="1"/>
        <v>0</v>
      </c>
    </row>
    <row r="17" spans="1:9" ht="12" thickTop="1" thickBot="1" x14ac:dyDescent="0.2">
      <c r="A17" s="138"/>
      <c r="C17" s="138"/>
      <c r="E17" s="498"/>
      <c r="F17" s="198"/>
      <c r="G17" s="498"/>
      <c r="I17" s="167"/>
    </row>
    <row r="18" spans="1:9" ht="11.25" thickBot="1" x14ac:dyDescent="0.2">
      <c r="A18" s="512" t="s">
        <v>1233</v>
      </c>
      <c r="D18" s="513">
        <f t="shared" ref="D18:I18" si="2">D6+D16</f>
        <v>0</v>
      </c>
      <c r="E18" s="513">
        <f t="shared" si="2"/>
        <v>0</v>
      </c>
      <c r="F18" s="513">
        <f t="shared" si="2"/>
        <v>0</v>
      </c>
      <c r="G18" s="513">
        <f t="shared" si="2"/>
        <v>0</v>
      </c>
      <c r="H18" s="513">
        <f t="shared" si="2"/>
        <v>0</v>
      </c>
      <c r="I18" s="171">
        <f t="shared" si="2"/>
        <v>0</v>
      </c>
    </row>
    <row r="19" spans="1:9" x14ac:dyDescent="0.15">
      <c r="E19" s="498"/>
      <c r="F19" s="498"/>
      <c r="G19" s="498"/>
      <c r="I19" s="167"/>
    </row>
    <row r="20" spans="1:9" x14ac:dyDescent="0.15">
      <c r="A20" s="660" t="s">
        <v>824</v>
      </c>
      <c r="B20" s="424"/>
      <c r="C20" s="495" t="s">
        <v>816</v>
      </c>
      <c r="I20" s="179"/>
    </row>
    <row r="21" spans="1:9" x14ac:dyDescent="0.15">
      <c r="A21" s="436" t="s">
        <v>105</v>
      </c>
      <c r="B21" s="501" t="s">
        <v>1437</v>
      </c>
      <c r="C21" s="2" t="s">
        <v>827</v>
      </c>
      <c r="D21" s="41">
        <v>0</v>
      </c>
      <c r="E21" s="41">
        <v>0</v>
      </c>
      <c r="F21" s="41">
        <v>0</v>
      </c>
      <c r="G21" s="41">
        <v>0</v>
      </c>
      <c r="H21" s="534">
        <v>0</v>
      </c>
      <c r="I21" s="535">
        <f>SUM(G21+H21)</f>
        <v>0</v>
      </c>
    </row>
    <row r="22" spans="1:9" x14ac:dyDescent="0.15">
      <c r="A22" s="490"/>
      <c r="B22" s="424"/>
    </row>
    <row r="23" spans="1:9" x14ac:dyDescent="0.15">
      <c r="E23" s="498"/>
      <c r="F23" s="498"/>
      <c r="G23" s="498"/>
      <c r="I23" s="167"/>
    </row>
    <row r="24" spans="1:9" x14ac:dyDescent="0.15">
      <c r="A24" s="580" t="s">
        <v>198</v>
      </c>
      <c r="C24" s="557" t="s">
        <v>199</v>
      </c>
      <c r="E24" s="498"/>
      <c r="F24" s="498"/>
      <c r="G24" s="498"/>
      <c r="I24" s="167"/>
    </row>
    <row r="25" spans="1:9" x14ac:dyDescent="0.15">
      <c r="A25" s="521" t="s">
        <v>675</v>
      </c>
      <c r="B25" s="521" t="s">
        <v>1240</v>
      </c>
      <c r="C25" s="423" t="s">
        <v>1331</v>
      </c>
      <c r="D25" s="41">
        <v>0</v>
      </c>
      <c r="E25" s="41">
        <v>0</v>
      </c>
      <c r="F25" s="41">
        <v>0</v>
      </c>
      <c r="G25" s="41">
        <v>0</v>
      </c>
      <c r="H25" s="532">
        <v>0</v>
      </c>
      <c r="I25" s="575">
        <f>SUM(G25+H25)</f>
        <v>0</v>
      </c>
    </row>
    <row r="26" spans="1:9" x14ac:dyDescent="0.15">
      <c r="A26" s="521" t="s">
        <v>676</v>
      </c>
      <c r="B26" s="521" t="s">
        <v>1244</v>
      </c>
      <c r="C26" s="423" t="s">
        <v>1332</v>
      </c>
      <c r="D26" s="41">
        <v>0</v>
      </c>
      <c r="E26" s="41">
        <v>0</v>
      </c>
      <c r="F26" s="41">
        <v>0</v>
      </c>
      <c r="G26" s="41">
        <v>0</v>
      </c>
      <c r="H26" s="532">
        <v>0</v>
      </c>
      <c r="I26" s="575">
        <f t="shared" ref="I26:I37" si="3">SUM(G26+H26)</f>
        <v>0</v>
      </c>
    </row>
    <row r="27" spans="1:9" x14ac:dyDescent="0.15">
      <c r="A27" s="521" t="s">
        <v>697</v>
      </c>
      <c r="B27" s="521" t="s">
        <v>1245</v>
      </c>
      <c r="C27" s="423" t="s">
        <v>699</v>
      </c>
      <c r="D27" s="41">
        <v>0</v>
      </c>
      <c r="E27" s="41">
        <v>0</v>
      </c>
      <c r="F27" s="41">
        <v>0</v>
      </c>
      <c r="G27" s="41">
        <v>0</v>
      </c>
      <c r="H27" s="532">
        <v>0</v>
      </c>
      <c r="I27" s="575">
        <f t="shared" si="3"/>
        <v>0</v>
      </c>
    </row>
    <row r="28" spans="1:9" x14ac:dyDescent="0.15">
      <c r="A28" s="521" t="s">
        <v>677</v>
      </c>
      <c r="B28" s="138" t="s">
        <v>1338</v>
      </c>
      <c r="C28" s="581" t="s">
        <v>1335</v>
      </c>
      <c r="D28" s="41">
        <v>0</v>
      </c>
      <c r="E28" s="41">
        <v>0</v>
      </c>
      <c r="F28" s="41">
        <v>0</v>
      </c>
      <c r="G28" s="41">
        <v>0</v>
      </c>
      <c r="H28" s="532">
        <v>0</v>
      </c>
      <c r="I28" s="575">
        <f t="shared" si="3"/>
        <v>0</v>
      </c>
    </row>
    <row r="29" spans="1:9" x14ac:dyDescent="0.15">
      <c r="A29" s="521" t="s">
        <v>677</v>
      </c>
      <c r="B29" s="521" t="s">
        <v>1336</v>
      </c>
      <c r="C29" s="581" t="s">
        <v>1333</v>
      </c>
      <c r="D29" s="41">
        <v>0</v>
      </c>
      <c r="E29" s="41">
        <v>0</v>
      </c>
      <c r="F29" s="41">
        <v>0</v>
      </c>
      <c r="G29" s="41">
        <v>0</v>
      </c>
      <c r="H29" s="532">
        <v>0</v>
      </c>
      <c r="I29" s="575">
        <f t="shared" si="3"/>
        <v>0</v>
      </c>
    </row>
    <row r="30" spans="1:9" x14ac:dyDescent="0.15">
      <c r="A30" s="521" t="s">
        <v>677</v>
      </c>
      <c r="B30" s="138" t="s">
        <v>1337</v>
      </c>
      <c r="C30" s="581" t="s">
        <v>1334</v>
      </c>
      <c r="D30" s="41">
        <v>0</v>
      </c>
      <c r="E30" s="41">
        <v>0</v>
      </c>
      <c r="F30" s="41">
        <v>0</v>
      </c>
      <c r="G30" s="41">
        <v>0</v>
      </c>
      <c r="H30" s="532">
        <v>0</v>
      </c>
      <c r="I30" s="575">
        <f t="shared" si="3"/>
        <v>0</v>
      </c>
    </row>
    <row r="31" spans="1:9" x14ac:dyDescent="0.15">
      <c r="A31" s="521" t="s">
        <v>678</v>
      </c>
      <c r="B31" s="521" t="s">
        <v>1242</v>
      </c>
      <c r="C31" s="581" t="s">
        <v>700</v>
      </c>
      <c r="D31" s="41">
        <v>0</v>
      </c>
      <c r="E31" s="41">
        <v>0</v>
      </c>
      <c r="F31" s="41">
        <v>0</v>
      </c>
      <c r="G31" s="41">
        <v>0</v>
      </c>
      <c r="H31" s="532">
        <v>0</v>
      </c>
      <c r="I31" s="575">
        <f t="shared" si="3"/>
        <v>0</v>
      </c>
    </row>
    <row r="32" spans="1:9" x14ac:dyDescent="0.15">
      <c r="A32" s="521" t="s">
        <v>693</v>
      </c>
      <c r="B32" s="521" t="s">
        <v>1247</v>
      </c>
      <c r="C32" s="581" t="s">
        <v>648</v>
      </c>
      <c r="D32" s="41">
        <v>0</v>
      </c>
      <c r="E32" s="41">
        <v>0</v>
      </c>
      <c r="F32" s="41">
        <v>0</v>
      </c>
      <c r="G32" s="41">
        <v>0</v>
      </c>
      <c r="H32" s="532">
        <v>0</v>
      </c>
      <c r="I32" s="575">
        <f t="shared" si="3"/>
        <v>0</v>
      </c>
    </row>
    <row r="33" spans="1:9" x14ac:dyDescent="0.15">
      <c r="A33" s="521" t="s">
        <v>694</v>
      </c>
      <c r="B33" s="521" t="s">
        <v>1248</v>
      </c>
      <c r="C33" s="581" t="s">
        <v>649</v>
      </c>
      <c r="D33" s="41">
        <v>0</v>
      </c>
      <c r="E33" s="41">
        <v>0</v>
      </c>
      <c r="F33" s="41">
        <v>0</v>
      </c>
      <c r="G33" s="41">
        <v>0</v>
      </c>
      <c r="H33" s="532">
        <v>0</v>
      </c>
      <c r="I33" s="575">
        <f t="shared" si="3"/>
        <v>0</v>
      </c>
    </row>
    <row r="34" spans="1:9" x14ac:dyDescent="0.15">
      <c r="A34" s="521" t="s">
        <v>695</v>
      </c>
      <c r="B34" s="521" t="s">
        <v>1249</v>
      </c>
      <c r="C34" s="581" t="s">
        <v>259</v>
      </c>
      <c r="D34" s="41">
        <v>0</v>
      </c>
      <c r="E34" s="41">
        <v>0</v>
      </c>
      <c r="F34" s="41">
        <v>0</v>
      </c>
      <c r="G34" s="41">
        <v>0</v>
      </c>
      <c r="H34" s="532">
        <v>0</v>
      </c>
      <c r="I34" s="575">
        <f t="shared" si="3"/>
        <v>0</v>
      </c>
    </row>
    <row r="35" spans="1:9" x14ac:dyDescent="0.15">
      <c r="A35" s="521" t="s">
        <v>696</v>
      </c>
      <c r="B35" s="521" t="s">
        <v>1250</v>
      </c>
      <c r="C35" s="581" t="s">
        <v>650</v>
      </c>
      <c r="D35" s="41">
        <v>0</v>
      </c>
      <c r="E35" s="41">
        <v>0</v>
      </c>
      <c r="F35" s="41">
        <v>0</v>
      </c>
      <c r="G35" s="41">
        <v>0</v>
      </c>
      <c r="H35" s="532">
        <v>0</v>
      </c>
      <c r="I35" s="575">
        <f t="shared" si="3"/>
        <v>0</v>
      </c>
    </row>
    <row r="36" spans="1:9" x14ac:dyDescent="0.15">
      <c r="A36" s="521"/>
      <c r="B36" s="521"/>
      <c r="C36" s="663" t="s">
        <v>862</v>
      </c>
      <c r="D36" s="664">
        <f t="shared" ref="D36:I36" si="4">+D21</f>
        <v>0</v>
      </c>
      <c r="E36" s="664">
        <f t="shared" si="4"/>
        <v>0</v>
      </c>
      <c r="F36" s="664">
        <f t="shared" si="4"/>
        <v>0</v>
      </c>
      <c r="G36" s="664">
        <f t="shared" si="4"/>
        <v>0</v>
      </c>
      <c r="H36" s="664">
        <f t="shared" si="4"/>
        <v>0</v>
      </c>
      <c r="I36" s="664">
        <f t="shared" si="4"/>
        <v>0</v>
      </c>
    </row>
    <row r="37" spans="1:9" x14ac:dyDescent="0.15">
      <c r="B37" s="521" t="s">
        <v>1253</v>
      </c>
      <c r="C37" s="138" t="s">
        <v>1339</v>
      </c>
      <c r="D37" s="41">
        <v>0</v>
      </c>
      <c r="E37" s="41">
        <v>0</v>
      </c>
      <c r="F37" s="41">
        <v>0</v>
      </c>
      <c r="G37" s="41">
        <v>0</v>
      </c>
      <c r="H37" s="532">
        <v>0</v>
      </c>
      <c r="I37" s="575">
        <f t="shared" si="3"/>
        <v>0</v>
      </c>
    </row>
    <row r="38" spans="1:9" ht="11.25" thickBot="1" x14ac:dyDescent="0.2">
      <c r="C38" s="138"/>
      <c r="D38" s="14"/>
      <c r="E38" s="14"/>
      <c r="F38" s="14"/>
      <c r="G38" s="14"/>
      <c r="I38" s="167"/>
    </row>
    <row r="39" spans="1:9" ht="12" thickTop="1" thickBot="1" x14ac:dyDescent="0.2">
      <c r="B39" s="521" t="s">
        <v>1254</v>
      </c>
      <c r="C39" s="512" t="s">
        <v>1037</v>
      </c>
      <c r="D39" s="156">
        <f t="shared" ref="D39:I39" si="5">SUM(D25:D37)</f>
        <v>0</v>
      </c>
      <c r="E39" s="156">
        <f t="shared" si="5"/>
        <v>0</v>
      </c>
      <c r="F39" s="156">
        <f t="shared" si="5"/>
        <v>0</v>
      </c>
      <c r="G39" s="156">
        <f t="shared" si="5"/>
        <v>0</v>
      </c>
      <c r="H39" s="156">
        <f t="shared" si="5"/>
        <v>0</v>
      </c>
      <c r="I39" s="173">
        <f t="shared" si="5"/>
        <v>0</v>
      </c>
    </row>
    <row r="40" spans="1:9" ht="11.25" thickTop="1" x14ac:dyDescent="0.15">
      <c r="E40" s="498"/>
      <c r="F40" s="498"/>
      <c r="G40" s="498"/>
      <c r="I40" s="167"/>
    </row>
    <row r="41" spans="1:9" x14ac:dyDescent="0.15">
      <c r="A41" s="556" t="s">
        <v>110</v>
      </c>
      <c r="C41" s="557" t="s">
        <v>737</v>
      </c>
      <c r="D41" s="498"/>
      <c r="E41" s="498"/>
      <c r="F41" s="498"/>
      <c r="G41" s="498"/>
      <c r="I41" s="167"/>
    </row>
    <row r="42" spans="1:9" x14ac:dyDescent="0.15">
      <c r="A42" s="558" t="s">
        <v>1522</v>
      </c>
      <c r="B42" s="511" t="s">
        <v>1255</v>
      </c>
      <c r="C42" s="138" t="s">
        <v>1516</v>
      </c>
      <c r="D42" s="41">
        <v>0</v>
      </c>
      <c r="E42" s="41">
        <v>0</v>
      </c>
      <c r="F42" s="41">
        <v>0</v>
      </c>
      <c r="G42" s="41">
        <v>0</v>
      </c>
      <c r="H42" s="532">
        <v>0</v>
      </c>
      <c r="I42" s="564">
        <f>SUM(G42+H42)</f>
        <v>0</v>
      </c>
    </row>
    <row r="43" spans="1:9" ht="11.25" customHeight="1" x14ac:dyDescent="0.15">
      <c r="A43" s="558" t="s">
        <v>1523</v>
      </c>
      <c r="B43" s="511" t="s">
        <v>1260</v>
      </c>
      <c r="C43" s="138" t="s">
        <v>1517</v>
      </c>
      <c r="D43" s="41">
        <v>0</v>
      </c>
      <c r="E43" s="41">
        <v>0</v>
      </c>
      <c r="F43" s="41">
        <v>0</v>
      </c>
      <c r="G43" s="41">
        <v>0</v>
      </c>
      <c r="H43" s="532">
        <v>0</v>
      </c>
      <c r="I43" s="564">
        <f>SUM(G43+H43)</f>
        <v>0</v>
      </c>
    </row>
    <row r="44" spans="1:9" x14ac:dyDescent="0.15">
      <c r="A44" s="558" t="s">
        <v>1524</v>
      </c>
      <c r="B44" s="511" t="s">
        <v>1261</v>
      </c>
      <c r="C44" s="138" t="s">
        <v>1518</v>
      </c>
      <c r="D44" s="41">
        <v>0</v>
      </c>
      <c r="E44" s="41">
        <v>0</v>
      </c>
      <c r="F44" s="41">
        <v>0</v>
      </c>
      <c r="G44" s="41">
        <v>0</v>
      </c>
      <c r="H44" s="532">
        <v>0</v>
      </c>
      <c r="I44" s="564">
        <f>SUM(G44+H44)</f>
        <v>0</v>
      </c>
    </row>
    <row r="45" spans="1:9" x14ac:dyDescent="0.15">
      <c r="A45" s="725" t="s">
        <v>1675</v>
      </c>
      <c r="B45" s="511" t="s">
        <v>1262</v>
      </c>
      <c r="C45" s="692" t="s">
        <v>1676</v>
      </c>
      <c r="D45" s="41">
        <v>0</v>
      </c>
      <c r="E45" s="41">
        <v>0</v>
      </c>
      <c r="F45" s="41">
        <v>0</v>
      </c>
      <c r="G45" s="41">
        <v>0</v>
      </c>
      <c r="H45" s="532">
        <v>0</v>
      </c>
      <c r="I45" s="564">
        <f>SUM(G45+H45)</f>
        <v>0</v>
      </c>
    </row>
    <row r="46" spans="1:9" ht="11.25" thickBot="1" x14ac:dyDescent="0.2">
      <c r="A46" s="558" t="s">
        <v>1526</v>
      </c>
      <c r="B46" s="511" t="s">
        <v>1263</v>
      </c>
      <c r="C46" s="138" t="s">
        <v>1520</v>
      </c>
      <c r="D46" s="150">
        <v>0</v>
      </c>
      <c r="E46" s="150">
        <v>0</v>
      </c>
      <c r="F46" s="150">
        <v>0</v>
      </c>
      <c r="G46" s="150">
        <v>0</v>
      </c>
      <c r="H46" s="532">
        <v>0</v>
      </c>
      <c r="I46" s="582">
        <f>SUM(G46+H46)</f>
        <v>0</v>
      </c>
    </row>
    <row r="47" spans="1:9" ht="12" thickTop="1" thickBot="1" x14ac:dyDescent="0.2">
      <c r="A47" s="559"/>
      <c r="B47" s="511" t="s">
        <v>1265</v>
      </c>
      <c r="C47" s="692" t="s">
        <v>1686</v>
      </c>
      <c r="D47" s="151">
        <f t="shared" ref="D47:I47" si="6">SUM(D42:D46)</f>
        <v>0</v>
      </c>
      <c r="E47" s="151">
        <f t="shared" si="6"/>
        <v>0</v>
      </c>
      <c r="F47" s="151">
        <f t="shared" si="6"/>
        <v>0</v>
      </c>
      <c r="G47" s="151">
        <f t="shared" si="6"/>
        <v>0</v>
      </c>
      <c r="H47" s="151">
        <f t="shared" si="6"/>
        <v>0</v>
      </c>
      <c r="I47" s="169">
        <f t="shared" si="6"/>
        <v>0</v>
      </c>
    </row>
    <row r="48" spans="1:9" ht="12" thickTop="1" thickBot="1" x14ac:dyDescent="0.2">
      <c r="A48" s="559"/>
      <c r="C48" s="138"/>
      <c r="D48" s="498"/>
      <c r="E48" s="498"/>
      <c r="F48" s="498"/>
      <c r="G48" s="498"/>
      <c r="I48" s="167"/>
    </row>
    <row r="49" spans="1:9" ht="11.25" thickBot="1" x14ac:dyDescent="0.2">
      <c r="A49" s="774" t="s">
        <v>1035</v>
      </c>
      <c r="B49" s="774"/>
      <c r="C49" s="775"/>
      <c r="D49" s="561">
        <f>D39+D47</f>
        <v>0</v>
      </c>
      <c r="E49" s="561">
        <f>E39+E47</f>
        <v>0</v>
      </c>
      <c r="F49" s="561">
        <f>F39+F47</f>
        <v>0</v>
      </c>
      <c r="G49" s="561">
        <f>G39+G47</f>
        <v>0</v>
      </c>
      <c r="H49" s="561">
        <f>H39+H47</f>
        <v>0</v>
      </c>
      <c r="I49" s="212">
        <f>G49+H49</f>
        <v>0</v>
      </c>
    </row>
    <row r="50" spans="1:9" x14ac:dyDescent="0.15">
      <c r="A50" s="559"/>
      <c r="C50" s="138" t="s">
        <v>725</v>
      </c>
      <c r="D50" s="498"/>
      <c r="E50" s="498"/>
      <c r="F50" s="498"/>
      <c r="G50" s="498"/>
      <c r="I50" s="167"/>
    </row>
    <row r="51" spans="1:9" ht="11.25" thickBot="1" x14ac:dyDescent="0.2">
      <c r="A51" s="559"/>
      <c r="C51" s="138"/>
      <c r="D51" s="498"/>
      <c r="E51" s="498"/>
      <c r="F51" s="498"/>
      <c r="G51" s="498"/>
      <c r="I51" s="167"/>
    </row>
    <row r="52" spans="1:9" ht="12" thickTop="1" thickBot="1" x14ac:dyDescent="0.2">
      <c r="C52" s="562" t="s">
        <v>726</v>
      </c>
      <c r="D52" s="156">
        <f>D18</f>
        <v>0</v>
      </c>
      <c r="E52" s="156">
        <f>E18</f>
        <v>0</v>
      </c>
      <c r="F52" s="156">
        <f>F18</f>
        <v>0</v>
      </c>
      <c r="G52" s="156">
        <f>G18</f>
        <v>0</v>
      </c>
      <c r="H52" s="156">
        <f>H18</f>
        <v>0</v>
      </c>
      <c r="I52" s="173">
        <f>G52+H52</f>
        <v>0</v>
      </c>
    </row>
    <row r="53" spans="1:9" ht="11.25" thickTop="1" x14ac:dyDescent="0.15">
      <c r="I53" s="167"/>
    </row>
    <row r="54" spans="1:9" x14ac:dyDescent="0.15">
      <c r="C54" s="562" t="s">
        <v>727</v>
      </c>
      <c r="D54" s="423">
        <f t="shared" ref="D54:I54" si="7">D49-D52</f>
        <v>0</v>
      </c>
      <c r="E54" s="423">
        <f t="shared" si="7"/>
        <v>0</v>
      </c>
      <c r="F54" s="423">
        <f t="shared" si="7"/>
        <v>0</v>
      </c>
      <c r="G54" s="423">
        <f t="shared" si="7"/>
        <v>0</v>
      </c>
      <c r="H54" s="423">
        <f t="shared" si="7"/>
        <v>0</v>
      </c>
      <c r="I54" s="167">
        <f t="shared" si="7"/>
        <v>0</v>
      </c>
    </row>
    <row r="55" spans="1:9" x14ac:dyDescent="0.15">
      <c r="I55" s="167"/>
    </row>
    <row r="56" spans="1:9" x14ac:dyDescent="0.15">
      <c r="I56" s="167"/>
    </row>
    <row r="59" spans="1:9" x14ac:dyDescent="0.15">
      <c r="A59" s="3" t="s">
        <v>1226</v>
      </c>
    </row>
    <row r="60" spans="1:9" x14ac:dyDescent="0.15">
      <c r="A60" s="662"/>
      <c r="B60" s="424"/>
    </row>
    <row r="61" spans="1:9" x14ac:dyDescent="0.15">
      <c r="A61" s="651" t="s">
        <v>861</v>
      </c>
      <c r="B61" s="717"/>
      <c r="C61" s="717"/>
      <c r="D61" s="717"/>
      <c r="E61" s="717"/>
      <c r="F61" s="717"/>
    </row>
    <row r="62" spans="1:9" x14ac:dyDescent="0.15">
      <c r="A62" s="138"/>
    </row>
    <row r="63" spans="1:9" x14ac:dyDescent="0.15">
      <c r="A63" s="423" t="s">
        <v>651</v>
      </c>
    </row>
  </sheetData>
  <sheetProtection formatCells="0" formatColumns="0" formatRows="0"/>
  <mergeCells count="1">
    <mergeCell ref="A49:C49"/>
  </mergeCells>
  <phoneticPr fontId="15" type="noConversion"/>
  <pageMargins left="0.5" right="0.5" top="0.75" bottom="0.75" header="0.5" footer="0.5"/>
  <pageSetup scale="67" firstPageNumber="26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topLeftCell="A94" zoomScaleNormal="100" workbookViewId="0">
      <selection activeCell="D7" sqref="D7"/>
    </sheetView>
  </sheetViews>
  <sheetFormatPr defaultRowHeight="10.5" x14ac:dyDescent="0.15"/>
  <cols>
    <col min="1" max="1" width="10.83203125" style="158" customWidth="1"/>
    <col min="2" max="2" width="4.33203125" style="158" customWidth="1"/>
    <col min="3" max="3" width="73" style="158" customWidth="1"/>
    <col min="4" max="4" width="15.83203125" style="158" customWidth="1"/>
    <col min="5" max="5" width="17.83203125" style="158" customWidth="1"/>
    <col min="6" max="6" width="17" style="158" customWidth="1"/>
    <col min="7" max="7" width="17.33203125" style="158" customWidth="1"/>
    <col min="8" max="9" width="18.1640625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G1" s="38" t="s">
        <v>1588</v>
      </c>
    </row>
    <row r="2" spans="1:9" x14ac:dyDescent="0.15">
      <c r="A2" s="15" t="s">
        <v>1347</v>
      </c>
    </row>
    <row r="3" spans="1:9" ht="31.5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x14ac:dyDescent="0.15">
      <c r="D5" s="166"/>
      <c r="E5" s="166"/>
      <c r="F5" s="166"/>
      <c r="G5" s="166"/>
    </row>
    <row r="6" spans="1:9" ht="11.25" thickBot="1" x14ac:dyDescent="0.2">
      <c r="D6" s="166"/>
      <c r="E6" s="166"/>
      <c r="F6" s="166"/>
      <c r="G6" s="166"/>
      <c r="I6" s="167"/>
    </row>
    <row r="7" spans="1:9" ht="11.25" thickBot="1" x14ac:dyDescent="0.2">
      <c r="A7" s="18" t="s">
        <v>195</v>
      </c>
      <c r="B7" s="35" t="s">
        <v>1589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171">
        <f>G7+H7</f>
        <v>0</v>
      </c>
    </row>
    <row r="8" spans="1:9" x14ac:dyDescent="0.15">
      <c r="A8" s="153" t="s">
        <v>1592</v>
      </c>
      <c r="C8" s="210" t="s">
        <v>196</v>
      </c>
      <c r="D8" s="178"/>
      <c r="E8" s="170"/>
      <c r="F8" s="170"/>
      <c r="G8" s="170"/>
      <c r="I8" s="167"/>
    </row>
    <row r="9" spans="1:9" x14ac:dyDescent="0.15">
      <c r="A9" s="115" t="s">
        <v>1148</v>
      </c>
      <c r="B9" s="160" t="s">
        <v>1159</v>
      </c>
      <c r="C9" s="115" t="s">
        <v>1146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536">
        <f>G9+H9</f>
        <v>0</v>
      </c>
    </row>
    <row r="10" spans="1:9" x14ac:dyDescent="0.15">
      <c r="A10" s="152" t="s">
        <v>1147</v>
      </c>
      <c r="B10" s="160" t="s">
        <v>1160</v>
      </c>
      <c r="C10" s="115" t="s">
        <v>1149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536">
        <f t="shared" ref="I10:I15" si="0">G10+H10</f>
        <v>0</v>
      </c>
    </row>
    <row r="11" spans="1:9" x14ac:dyDescent="0.15">
      <c r="A11" s="115" t="s">
        <v>439</v>
      </c>
      <c r="B11" s="160" t="s">
        <v>1161</v>
      </c>
      <c r="C11" s="115" t="s">
        <v>1150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536">
        <f t="shared" si="0"/>
        <v>0</v>
      </c>
    </row>
    <row r="12" spans="1:9" x14ac:dyDescent="0.15">
      <c r="A12" s="115" t="s">
        <v>440</v>
      </c>
      <c r="B12" s="160" t="s">
        <v>1228</v>
      </c>
      <c r="C12" s="115" t="s">
        <v>1151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536">
        <f t="shared" si="0"/>
        <v>0</v>
      </c>
    </row>
    <row r="13" spans="1:9" x14ac:dyDescent="0.15">
      <c r="A13" s="162" t="s">
        <v>105</v>
      </c>
      <c r="B13" s="205" t="s">
        <v>1229</v>
      </c>
      <c r="C13" s="2" t="s">
        <v>860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536">
        <f t="shared" si="0"/>
        <v>0</v>
      </c>
    </row>
    <row r="14" spans="1:9" x14ac:dyDescent="0.15">
      <c r="A14" s="152" t="s">
        <v>766</v>
      </c>
      <c r="B14" s="160" t="s">
        <v>1230</v>
      </c>
      <c r="C14" s="115" t="s">
        <v>1152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536">
        <f t="shared" si="0"/>
        <v>0</v>
      </c>
    </row>
    <row r="15" spans="1:9" x14ac:dyDescent="0.15">
      <c r="A15" s="152"/>
      <c r="B15" s="160" t="s">
        <v>1231</v>
      </c>
      <c r="C15" s="115" t="s">
        <v>212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536">
        <f t="shared" si="0"/>
        <v>0</v>
      </c>
    </row>
    <row r="16" spans="1:9" ht="11.25" thickBot="1" x14ac:dyDescent="0.2">
      <c r="A16" s="152"/>
      <c r="C16" s="115"/>
      <c r="D16" s="179"/>
      <c r="E16" s="14"/>
      <c r="F16" s="170"/>
      <c r="G16" s="170"/>
      <c r="I16" s="167"/>
    </row>
    <row r="17" spans="1:10" ht="12" thickTop="1" thickBot="1" x14ac:dyDescent="0.2">
      <c r="B17" s="204" t="s">
        <v>1232</v>
      </c>
      <c r="C17" s="35" t="s">
        <v>406</v>
      </c>
      <c r="D17" s="169">
        <f t="shared" ref="D17:I17" si="1">SUM(D8:D15)</f>
        <v>0</v>
      </c>
      <c r="E17" s="169">
        <f t="shared" si="1"/>
        <v>0</v>
      </c>
      <c r="F17" s="169">
        <f t="shared" si="1"/>
        <v>0</v>
      </c>
      <c r="G17" s="169">
        <f t="shared" si="1"/>
        <v>0</v>
      </c>
      <c r="H17" s="169">
        <f t="shared" si="1"/>
        <v>0</v>
      </c>
      <c r="I17" s="169">
        <f t="shared" si="1"/>
        <v>0</v>
      </c>
    </row>
    <row r="18" spans="1:10" ht="12" thickTop="1" thickBot="1" x14ac:dyDescent="0.2">
      <c r="C18" s="152"/>
      <c r="D18" s="170"/>
      <c r="E18" s="170"/>
      <c r="F18" s="170"/>
      <c r="G18" s="170"/>
      <c r="I18" s="167"/>
    </row>
    <row r="19" spans="1:10" ht="11.25" thickBot="1" x14ac:dyDescent="0.2">
      <c r="A19" s="35" t="s">
        <v>1167</v>
      </c>
      <c r="D19" s="171">
        <f t="shared" ref="D19:I19" si="2">D7+D17</f>
        <v>0</v>
      </c>
      <c r="E19" s="171">
        <f t="shared" si="2"/>
        <v>0</v>
      </c>
      <c r="F19" s="171">
        <f t="shared" si="2"/>
        <v>0</v>
      </c>
      <c r="G19" s="171">
        <f t="shared" si="2"/>
        <v>0</v>
      </c>
      <c r="H19" s="171">
        <f t="shared" si="2"/>
        <v>0</v>
      </c>
      <c r="I19" s="171">
        <f t="shared" si="2"/>
        <v>0</v>
      </c>
    </row>
    <row r="20" spans="1:10" x14ac:dyDescent="0.15">
      <c r="E20" s="159"/>
      <c r="F20" s="159"/>
      <c r="G20" s="159"/>
      <c r="I20" s="167"/>
    </row>
    <row r="21" spans="1:10" x14ac:dyDescent="0.15">
      <c r="A21" s="660" t="s">
        <v>824</v>
      </c>
      <c r="B21" s="424"/>
      <c r="C21" s="495" t="s">
        <v>816</v>
      </c>
      <c r="D21" s="423"/>
      <c r="E21" s="423"/>
      <c r="F21" s="423"/>
      <c r="G21" s="423"/>
      <c r="H21" s="423"/>
      <c r="I21" s="179"/>
    </row>
    <row r="22" spans="1:10" x14ac:dyDescent="0.15">
      <c r="A22" s="436" t="s">
        <v>105</v>
      </c>
      <c r="B22" s="501" t="s">
        <v>1437</v>
      </c>
      <c r="C22" s="2" t="s">
        <v>40</v>
      </c>
      <c r="D22" s="41">
        <v>0</v>
      </c>
      <c r="E22" s="41">
        <v>0</v>
      </c>
      <c r="F22" s="41">
        <v>0</v>
      </c>
      <c r="G22" s="41">
        <v>0</v>
      </c>
      <c r="H22" s="534">
        <v>0</v>
      </c>
      <c r="I22" s="535">
        <f>SUM(G22+H22)</f>
        <v>0</v>
      </c>
    </row>
    <row r="23" spans="1:10" x14ac:dyDescent="0.15">
      <c r="A23" s="490"/>
      <c r="B23" s="424"/>
      <c r="C23" s="423"/>
      <c r="D23" s="423"/>
      <c r="E23" s="423"/>
      <c r="F23" s="423"/>
      <c r="G23" s="423"/>
      <c r="H23" s="423"/>
      <c r="I23" s="423"/>
    </row>
    <row r="24" spans="1:10" s="309" customFormat="1" x14ac:dyDescent="0.15">
      <c r="A24" s="158"/>
      <c r="B24" s="158"/>
      <c r="C24" s="158"/>
      <c r="D24" s="158"/>
      <c r="E24" s="159"/>
      <c r="F24" s="159"/>
      <c r="G24" s="159"/>
      <c r="H24" s="158"/>
      <c r="I24" s="167"/>
    </row>
    <row r="25" spans="1:10" s="309" customFormat="1" x14ac:dyDescent="0.15">
      <c r="A25" s="158"/>
      <c r="B25" s="158"/>
      <c r="C25" s="210" t="s">
        <v>199</v>
      </c>
      <c r="D25" s="158"/>
      <c r="E25" s="159"/>
      <c r="F25" s="159"/>
      <c r="G25" s="159"/>
      <c r="H25" s="158"/>
      <c r="I25" s="167"/>
    </row>
    <row r="26" spans="1:10" s="309" customFormat="1" x14ac:dyDescent="0.15">
      <c r="A26" s="36" t="s">
        <v>198</v>
      </c>
      <c r="B26" s="158"/>
      <c r="C26" s="158" t="s">
        <v>1153</v>
      </c>
      <c r="D26" s="158"/>
      <c r="E26" s="159"/>
      <c r="F26" s="159"/>
      <c r="G26" s="159"/>
      <c r="H26" s="158"/>
      <c r="I26" s="167"/>
    </row>
    <row r="27" spans="1:10" x14ac:dyDescent="0.15">
      <c r="A27" s="35" t="s">
        <v>68</v>
      </c>
      <c r="B27" s="35"/>
      <c r="C27" s="35"/>
      <c r="E27" s="159"/>
      <c r="F27" s="159"/>
      <c r="G27" s="159"/>
      <c r="I27" s="167"/>
      <c r="J27" s="309"/>
    </row>
    <row r="28" spans="1:10" x14ac:dyDescent="0.15">
      <c r="A28" s="311" t="s">
        <v>1577</v>
      </c>
      <c r="B28" s="583" t="s">
        <v>1240</v>
      </c>
      <c r="C28" s="312" t="s">
        <v>228</v>
      </c>
      <c r="D28" s="316">
        <v>0</v>
      </c>
      <c r="E28" s="316">
        <v>0</v>
      </c>
      <c r="F28" s="316">
        <v>0</v>
      </c>
      <c r="G28" s="529">
        <f t="array" ref="G28">SUM(IF(CertFund&amp;CertProg&amp;CertObj=RIGHT(LEFT($A$2,7),2)&amp;LEFT(A27,4)&amp;A28,CertSalary))</f>
        <v>0</v>
      </c>
      <c r="H28" s="584">
        <v>0</v>
      </c>
      <c r="I28" s="575">
        <f>SUM(G28+H28)</f>
        <v>0</v>
      </c>
    </row>
    <row r="29" spans="1:10" x14ac:dyDescent="0.15">
      <c r="A29" s="311" t="s">
        <v>1577</v>
      </c>
      <c r="B29" s="583" t="s">
        <v>1240</v>
      </c>
      <c r="C29" s="312" t="s">
        <v>510</v>
      </c>
      <c r="D29" s="316">
        <v>0</v>
      </c>
      <c r="E29" s="316">
        <v>0</v>
      </c>
      <c r="F29" s="316">
        <v>0</v>
      </c>
      <c r="G29" s="316">
        <v>0</v>
      </c>
      <c r="H29" s="584">
        <v>0</v>
      </c>
      <c r="I29" s="575">
        <f>SUM(G29+H29)</f>
        <v>0</v>
      </c>
    </row>
    <row r="30" spans="1:10" x14ac:dyDescent="0.15">
      <c r="A30" s="311" t="s">
        <v>1578</v>
      </c>
      <c r="B30" s="583" t="s">
        <v>1244</v>
      </c>
      <c r="C30" s="312" t="s">
        <v>936</v>
      </c>
      <c r="D30" s="316">
        <v>0</v>
      </c>
      <c r="E30" s="316">
        <v>0</v>
      </c>
      <c r="F30" s="316">
        <v>0</v>
      </c>
      <c r="G30" s="529">
        <f t="array" ref="G30">SUM(IF(CertFund&amp;CertProg&amp;CertObj=RIGHT(LEFT($A$2,7),2)&amp;LEFT(A27,4)&amp;A28,CertBen))</f>
        <v>0</v>
      </c>
      <c r="H30" s="584">
        <v>0</v>
      </c>
      <c r="I30" s="575">
        <f>SUM(G30+H30)</f>
        <v>0</v>
      </c>
    </row>
    <row r="31" spans="1:10" x14ac:dyDescent="0.15">
      <c r="A31" s="152" t="s">
        <v>1578</v>
      </c>
      <c r="B31" s="160" t="s">
        <v>1244</v>
      </c>
      <c r="C31" s="115" t="s">
        <v>511</v>
      </c>
      <c r="D31" s="147">
        <v>0</v>
      </c>
      <c r="E31" s="147">
        <v>0</v>
      </c>
      <c r="F31" s="147">
        <v>0</v>
      </c>
      <c r="G31" s="147">
        <v>0</v>
      </c>
      <c r="H31" s="585">
        <v>0</v>
      </c>
      <c r="I31" s="586">
        <f>SUM(G31+H31)</f>
        <v>0</v>
      </c>
    </row>
    <row r="32" spans="1:10" x14ac:dyDescent="0.15">
      <c r="A32" s="152" t="s">
        <v>1579</v>
      </c>
      <c r="B32" s="160" t="s">
        <v>1245</v>
      </c>
      <c r="C32" s="115" t="s">
        <v>118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536">
        <f t="shared" ref="I32:I59" si="3">G32+H32</f>
        <v>0</v>
      </c>
    </row>
    <row r="33" spans="1:9" x14ac:dyDescent="0.15">
      <c r="A33" s="152" t="s">
        <v>1580</v>
      </c>
      <c r="B33" s="160" t="s">
        <v>1241</v>
      </c>
      <c r="C33" s="115" t="s">
        <v>119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536">
        <f t="shared" si="3"/>
        <v>0</v>
      </c>
    </row>
    <row r="34" spans="1:9" x14ac:dyDescent="0.15">
      <c r="A34" s="152" t="s">
        <v>120</v>
      </c>
      <c r="B34" s="160" t="s">
        <v>1242</v>
      </c>
      <c r="C34" s="115" t="s">
        <v>121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536">
        <f t="shared" si="3"/>
        <v>0</v>
      </c>
    </row>
    <row r="35" spans="1:9" x14ac:dyDescent="0.15">
      <c r="A35" s="152" t="s">
        <v>122</v>
      </c>
      <c r="B35" s="160" t="s">
        <v>1247</v>
      </c>
      <c r="C35" s="115" t="s">
        <v>123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536">
        <f t="shared" si="3"/>
        <v>0</v>
      </c>
    </row>
    <row r="36" spans="1:9" x14ac:dyDescent="0.15">
      <c r="A36" s="152" t="s">
        <v>1581</v>
      </c>
      <c r="B36" s="160" t="s">
        <v>1248</v>
      </c>
      <c r="C36" s="115" t="s">
        <v>124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536">
        <f t="shared" si="3"/>
        <v>0</v>
      </c>
    </row>
    <row r="37" spans="1:9" x14ac:dyDescent="0.15">
      <c r="A37" s="152" t="s">
        <v>127</v>
      </c>
      <c r="B37" s="160" t="s">
        <v>1249</v>
      </c>
      <c r="C37" s="115" t="s">
        <v>134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536">
        <f t="shared" si="3"/>
        <v>0</v>
      </c>
    </row>
    <row r="38" spans="1:9" x14ac:dyDescent="0.15">
      <c r="A38" s="152" t="s">
        <v>132</v>
      </c>
      <c r="B38" s="160" t="s">
        <v>1250</v>
      </c>
      <c r="C38" s="115" t="s">
        <v>1617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536">
        <f t="shared" si="3"/>
        <v>0</v>
      </c>
    </row>
    <row r="39" spans="1:9" x14ac:dyDescent="0.15">
      <c r="A39" s="152" t="s">
        <v>1618</v>
      </c>
      <c r="B39" s="160" t="s">
        <v>1251</v>
      </c>
      <c r="C39" s="115" t="s">
        <v>836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536">
        <f t="shared" si="3"/>
        <v>0</v>
      </c>
    </row>
    <row r="40" spans="1:9" x14ac:dyDescent="0.15">
      <c r="A40" s="152" t="s">
        <v>1619</v>
      </c>
      <c r="B40" s="160" t="s">
        <v>1252</v>
      </c>
      <c r="C40" s="115" t="s">
        <v>185</v>
      </c>
      <c r="D40" s="147">
        <v>0</v>
      </c>
      <c r="E40" s="147">
        <v>0</v>
      </c>
      <c r="F40" s="147">
        <v>0</v>
      </c>
      <c r="G40" s="147">
        <v>0</v>
      </c>
      <c r="H40" s="147">
        <v>0</v>
      </c>
      <c r="I40" s="536">
        <f t="shared" si="3"/>
        <v>0</v>
      </c>
    </row>
    <row r="41" spans="1:9" x14ac:dyDescent="0.15">
      <c r="A41" s="152" t="s">
        <v>1620</v>
      </c>
      <c r="B41" s="160" t="s">
        <v>1253</v>
      </c>
      <c r="C41" s="115" t="s">
        <v>838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536">
        <f t="shared" si="3"/>
        <v>0</v>
      </c>
    </row>
    <row r="42" spans="1:9" x14ac:dyDescent="0.15">
      <c r="A42" s="152" t="s">
        <v>1621</v>
      </c>
      <c r="B42" s="160" t="s">
        <v>1254</v>
      </c>
      <c r="C42" s="115" t="s">
        <v>839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536">
        <f t="shared" si="3"/>
        <v>0</v>
      </c>
    </row>
    <row r="43" spans="1:9" x14ac:dyDescent="0.15">
      <c r="A43" s="152" t="s">
        <v>1622</v>
      </c>
      <c r="B43" s="160" t="s">
        <v>1255</v>
      </c>
      <c r="C43" s="115" t="s">
        <v>190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536">
        <f t="shared" si="3"/>
        <v>0</v>
      </c>
    </row>
    <row r="44" spans="1:9" x14ac:dyDescent="0.15">
      <c r="A44" s="152" t="s">
        <v>1624</v>
      </c>
      <c r="B44" s="160" t="s">
        <v>1260</v>
      </c>
      <c r="C44" s="115" t="s">
        <v>840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536">
        <f t="shared" si="3"/>
        <v>0</v>
      </c>
    </row>
    <row r="45" spans="1:9" x14ac:dyDescent="0.15">
      <c r="A45" s="152" t="s">
        <v>1625</v>
      </c>
      <c r="B45" s="160" t="s">
        <v>1261</v>
      </c>
      <c r="C45" s="115" t="s">
        <v>842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536">
        <f t="shared" si="3"/>
        <v>0</v>
      </c>
    </row>
    <row r="46" spans="1:9" x14ac:dyDescent="0.15">
      <c r="A46" s="152" t="s">
        <v>843</v>
      </c>
      <c r="B46" s="160" t="s">
        <v>1262</v>
      </c>
      <c r="C46" s="115" t="s">
        <v>848</v>
      </c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536">
        <f t="shared" si="3"/>
        <v>0</v>
      </c>
    </row>
    <row r="47" spans="1:9" x14ac:dyDescent="0.15">
      <c r="A47" s="152" t="s">
        <v>844</v>
      </c>
      <c r="B47" s="160" t="s">
        <v>1263</v>
      </c>
      <c r="C47" s="115" t="s">
        <v>186</v>
      </c>
      <c r="D47" s="147">
        <v>0</v>
      </c>
      <c r="E47" s="147">
        <v>0</v>
      </c>
      <c r="F47" s="147">
        <v>0</v>
      </c>
      <c r="G47" s="147">
        <v>0</v>
      </c>
      <c r="H47" s="147">
        <v>0</v>
      </c>
      <c r="I47" s="536">
        <f t="shared" si="3"/>
        <v>0</v>
      </c>
    </row>
    <row r="48" spans="1:9" x14ac:dyDescent="0.15">
      <c r="A48" s="152" t="s">
        <v>845</v>
      </c>
      <c r="B48" s="160" t="s">
        <v>1265</v>
      </c>
      <c r="C48" s="115" t="s">
        <v>154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536">
        <f t="shared" si="3"/>
        <v>0</v>
      </c>
    </row>
    <row r="49" spans="1:9" x14ac:dyDescent="0.15">
      <c r="A49" s="152" t="s">
        <v>846</v>
      </c>
      <c r="B49" s="160" t="s">
        <v>1266</v>
      </c>
      <c r="C49" s="115" t="s">
        <v>155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536">
        <f t="shared" si="3"/>
        <v>0</v>
      </c>
    </row>
    <row r="50" spans="1:9" x14ac:dyDescent="0.15">
      <c r="A50" s="152" t="s">
        <v>1582</v>
      </c>
      <c r="B50" s="160" t="s">
        <v>1267</v>
      </c>
      <c r="C50" s="115" t="s">
        <v>156</v>
      </c>
      <c r="D50" s="147">
        <v>0</v>
      </c>
      <c r="E50" s="147">
        <v>0</v>
      </c>
      <c r="F50" s="147">
        <v>0</v>
      </c>
      <c r="G50" s="147">
        <v>0</v>
      </c>
      <c r="H50" s="147">
        <v>0</v>
      </c>
      <c r="I50" s="536">
        <f t="shared" si="3"/>
        <v>0</v>
      </c>
    </row>
    <row r="51" spans="1:9" x14ac:dyDescent="0.15">
      <c r="A51" s="152" t="s">
        <v>847</v>
      </c>
      <c r="B51" s="160" t="s">
        <v>1268</v>
      </c>
      <c r="C51" s="115" t="s">
        <v>157</v>
      </c>
      <c r="D51" s="147">
        <v>0</v>
      </c>
      <c r="E51" s="147">
        <v>0</v>
      </c>
      <c r="F51" s="147">
        <v>0</v>
      </c>
      <c r="G51" s="147">
        <v>0</v>
      </c>
      <c r="H51" s="147">
        <v>0</v>
      </c>
      <c r="I51" s="536">
        <f t="shared" si="3"/>
        <v>0</v>
      </c>
    </row>
    <row r="52" spans="1:9" x14ac:dyDescent="0.15">
      <c r="A52" s="152" t="s">
        <v>1583</v>
      </c>
      <c r="B52" s="160" t="s">
        <v>1269</v>
      </c>
      <c r="C52" s="115" t="s">
        <v>160</v>
      </c>
      <c r="D52" s="147">
        <v>0</v>
      </c>
      <c r="E52" s="147">
        <v>0</v>
      </c>
      <c r="F52" s="147">
        <v>0</v>
      </c>
      <c r="G52" s="147">
        <v>0</v>
      </c>
      <c r="H52" s="147">
        <v>0</v>
      </c>
      <c r="I52" s="536">
        <f t="shared" si="3"/>
        <v>0</v>
      </c>
    </row>
    <row r="53" spans="1:9" x14ac:dyDescent="0.15">
      <c r="A53" s="152" t="s">
        <v>634</v>
      </c>
      <c r="B53" s="160" t="s">
        <v>1270</v>
      </c>
      <c r="C53" s="115" t="s">
        <v>165</v>
      </c>
      <c r="D53" s="147">
        <v>0</v>
      </c>
      <c r="E53" s="147">
        <v>0</v>
      </c>
      <c r="F53" s="147">
        <v>0</v>
      </c>
      <c r="G53" s="147">
        <v>0</v>
      </c>
      <c r="H53" s="147">
        <v>0</v>
      </c>
      <c r="I53" s="536">
        <f t="shared" si="3"/>
        <v>0</v>
      </c>
    </row>
    <row r="54" spans="1:9" x14ac:dyDescent="0.15">
      <c r="A54" s="152" t="s">
        <v>630</v>
      </c>
      <c r="B54" s="160" t="s">
        <v>1271</v>
      </c>
      <c r="C54" s="115" t="s">
        <v>172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536">
        <f t="shared" si="3"/>
        <v>0</v>
      </c>
    </row>
    <row r="55" spans="1:9" x14ac:dyDescent="0.15">
      <c r="A55" s="652" t="s">
        <v>631</v>
      </c>
      <c r="B55" s="654" t="s">
        <v>1272</v>
      </c>
      <c r="C55" s="653" t="s">
        <v>173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536">
        <f t="shared" si="3"/>
        <v>0</v>
      </c>
    </row>
    <row r="56" spans="1:9" x14ac:dyDescent="0.15">
      <c r="A56" s="152" t="s">
        <v>1584</v>
      </c>
      <c r="B56" s="160" t="s">
        <v>1273</v>
      </c>
      <c r="C56" s="115" t="s">
        <v>178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536">
        <f t="shared" si="3"/>
        <v>0</v>
      </c>
    </row>
    <row r="57" spans="1:9" x14ac:dyDescent="0.15">
      <c r="A57" s="152" t="s">
        <v>174</v>
      </c>
      <c r="B57" s="160" t="s">
        <v>1274</v>
      </c>
      <c r="C57" s="115" t="s">
        <v>179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536">
        <f t="shared" si="3"/>
        <v>0</v>
      </c>
    </row>
    <row r="58" spans="1:9" x14ac:dyDescent="0.15">
      <c r="A58" s="152" t="s">
        <v>175</v>
      </c>
      <c r="B58" s="160" t="s">
        <v>252</v>
      </c>
      <c r="C58" s="115" t="s">
        <v>180</v>
      </c>
      <c r="D58" s="147">
        <v>0</v>
      </c>
      <c r="E58" s="147">
        <v>0</v>
      </c>
      <c r="F58" s="147">
        <v>0</v>
      </c>
      <c r="G58" s="147">
        <v>0</v>
      </c>
      <c r="H58" s="147">
        <v>0</v>
      </c>
      <c r="I58" s="536">
        <f t="shared" si="3"/>
        <v>0</v>
      </c>
    </row>
    <row r="59" spans="1:9" x14ac:dyDescent="0.15">
      <c r="A59" s="152" t="s">
        <v>176</v>
      </c>
      <c r="B59" s="160" t="s">
        <v>253</v>
      </c>
      <c r="C59" s="115" t="s">
        <v>181</v>
      </c>
      <c r="D59" s="147">
        <v>0</v>
      </c>
      <c r="E59" s="147">
        <v>0</v>
      </c>
      <c r="F59" s="147">
        <v>0</v>
      </c>
      <c r="G59" s="147">
        <v>0</v>
      </c>
      <c r="H59" s="147">
        <v>0</v>
      </c>
      <c r="I59" s="536">
        <f t="shared" si="3"/>
        <v>0</v>
      </c>
    </row>
    <row r="60" spans="1:9" ht="11.25" thickBot="1" x14ac:dyDescent="0.2">
      <c r="A60" s="152"/>
      <c r="C60" s="115"/>
      <c r="D60" s="178"/>
      <c r="E60" s="14"/>
      <c r="F60" s="178"/>
      <c r="G60" s="170"/>
      <c r="I60" s="167"/>
    </row>
    <row r="61" spans="1:9" ht="12" thickTop="1" thickBot="1" x14ac:dyDescent="0.2">
      <c r="A61" s="152"/>
      <c r="B61" s="160" t="s">
        <v>1276</v>
      </c>
      <c r="C61" s="115" t="s">
        <v>616</v>
      </c>
      <c r="D61" s="169">
        <f t="shared" ref="D61:I61" si="4">SUM(D28:D59)</f>
        <v>0</v>
      </c>
      <c r="E61" s="169">
        <f t="shared" si="4"/>
        <v>0</v>
      </c>
      <c r="F61" s="169">
        <f t="shared" si="4"/>
        <v>0</v>
      </c>
      <c r="G61" s="169">
        <f t="shared" si="4"/>
        <v>0</v>
      </c>
      <c r="H61" s="169">
        <f t="shared" si="4"/>
        <v>0</v>
      </c>
      <c r="I61" s="169">
        <f t="shared" si="4"/>
        <v>0</v>
      </c>
    </row>
    <row r="62" spans="1:9" ht="11.25" thickTop="1" x14ac:dyDescent="0.15">
      <c r="A62" s="152"/>
      <c r="E62" s="159"/>
      <c r="F62" s="159"/>
      <c r="G62" s="159"/>
      <c r="I62" s="167"/>
    </row>
    <row r="63" spans="1:9" x14ac:dyDescent="0.15">
      <c r="A63" s="152"/>
      <c r="C63" s="172" t="s">
        <v>1154</v>
      </c>
      <c r="E63" s="159"/>
      <c r="F63" s="159"/>
      <c r="G63" s="159"/>
      <c r="I63" s="167"/>
    </row>
    <row r="64" spans="1:9" x14ac:dyDescent="0.15">
      <c r="A64" s="35" t="s">
        <v>641</v>
      </c>
      <c r="C64" s="172"/>
      <c r="E64" s="159"/>
      <c r="F64" s="159"/>
      <c r="G64" s="159"/>
      <c r="I64" s="167"/>
    </row>
    <row r="65" spans="1:9" x14ac:dyDescent="0.15">
      <c r="A65" s="35" t="s">
        <v>642</v>
      </c>
      <c r="C65" s="172"/>
      <c r="E65" s="159"/>
      <c r="F65" s="159"/>
      <c r="G65" s="159"/>
      <c r="I65" s="167"/>
    </row>
    <row r="66" spans="1:9" x14ac:dyDescent="0.15">
      <c r="A66" s="35" t="s">
        <v>262</v>
      </c>
      <c r="C66" s="172"/>
      <c r="E66" s="159"/>
      <c r="F66" s="159"/>
      <c r="G66" s="159"/>
      <c r="I66" s="167"/>
    </row>
    <row r="67" spans="1:9" x14ac:dyDescent="0.15">
      <c r="A67" s="35" t="s">
        <v>645</v>
      </c>
      <c r="C67" s="172"/>
      <c r="E67" s="159"/>
      <c r="F67" s="159"/>
      <c r="G67" s="159"/>
      <c r="I67" s="167"/>
    </row>
    <row r="68" spans="1:9" x14ac:dyDescent="0.15">
      <c r="A68" s="35" t="s">
        <v>621</v>
      </c>
      <c r="C68" s="172"/>
      <c r="E68" s="159"/>
      <c r="F68" s="159"/>
      <c r="G68" s="159"/>
      <c r="I68" s="167"/>
    </row>
    <row r="69" spans="1:9" x14ac:dyDescent="0.15">
      <c r="A69" s="35" t="s">
        <v>623</v>
      </c>
      <c r="C69" s="172"/>
      <c r="E69" s="159"/>
      <c r="F69" s="159"/>
      <c r="G69" s="159"/>
      <c r="I69" s="167"/>
    </row>
    <row r="70" spans="1:9" x14ac:dyDescent="0.15">
      <c r="A70" s="35" t="s">
        <v>656</v>
      </c>
      <c r="C70" s="172"/>
      <c r="E70" s="159"/>
      <c r="F70" s="159"/>
      <c r="G70" s="159"/>
      <c r="I70" s="167"/>
    </row>
    <row r="71" spans="1:9" s="309" customFormat="1" x14ac:dyDescent="0.15">
      <c r="A71" s="35" t="s">
        <v>658</v>
      </c>
      <c r="B71" s="158"/>
      <c r="C71" s="172"/>
      <c r="D71" s="158"/>
      <c r="E71" s="159"/>
      <c r="F71" s="159"/>
      <c r="G71" s="159"/>
      <c r="H71" s="158"/>
      <c r="I71" s="167"/>
    </row>
    <row r="72" spans="1:9" s="309" customFormat="1" x14ac:dyDescent="0.15">
      <c r="A72" s="35" t="s">
        <v>660</v>
      </c>
      <c r="B72" s="158"/>
      <c r="C72" s="172"/>
      <c r="D72" s="158"/>
      <c r="E72" s="159"/>
      <c r="F72" s="159"/>
      <c r="G72" s="159"/>
      <c r="H72" s="158"/>
      <c r="I72" s="167"/>
    </row>
    <row r="73" spans="1:9" s="309" customFormat="1" x14ac:dyDescent="0.15">
      <c r="A73" s="35" t="s">
        <v>662</v>
      </c>
      <c r="B73" s="158"/>
      <c r="C73" s="172"/>
      <c r="D73" s="158"/>
      <c r="E73" s="159"/>
      <c r="F73" s="159"/>
      <c r="G73" s="159"/>
      <c r="H73" s="158"/>
      <c r="I73" s="167"/>
    </row>
    <row r="74" spans="1:9" s="309" customFormat="1" x14ac:dyDescent="0.15">
      <c r="A74" s="35" t="s">
        <v>667</v>
      </c>
      <c r="B74" s="18"/>
      <c r="C74" s="172"/>
      <c r="D74" s="158"/>
      <c r="E74" s="159"/>
      <c r="F74" s="159"/>
      <c r="G74" s="159"/>
      <c r="H74" s="158"/>
      <c r="I74" s="167"/>
    </row>
    <row r="75" spans="1:9" x14ac:dyDescent="0.15">
      <c r="A75" s="311" t="s">
        <v>1577</v>
      </c>
      <c r="B75" s="583" t="s">
        <v>1240</v>
      </c>
      <c r="C75" s="312" t="s">
        <v>228</v>
      </c>
      <c r="D75" s="316">
        <v>0</v>
      </c>
      <c r="E75" s="316">
        <v>0</v>
      </c>
      <c r="F75" s="316">
        <v>0</v>
      </c>
      <c r="G75" s="529">
        <f t="array" ref="G75">SUM(IF(CertFund&amp;CertProg&amp;CertObj=RIGHT(LEFT($A$2,7),2)&amp;LEFT(A64,4)&amp;A75,CertSalary))+SUM(IF(CertFund&amp;CertProg&amp;CertObj=RIGHT(LEFT($A$2,7),2)&amp;LEFT(A65,4)&amp;A75,CertSalary))+SUM(IF(CertFund&amp;CertProg&amp;CertObj=RIGHT(LEFT($A$2,7),2)&amp;LEFT(A66,4)&amp;A75,CertSalary))+SUM(IF(CertFund&amp;CertProg&amp;CertObj=RIGHT(LEFT($A$2,7),2)&amp;LEFT(A67,4)&amp;A75,CertSalary))+SUM(IF(CertFund&amp;CertProg&amp;CertObj=RIGHT(LEFT($A$2,7),2)&amp;LEFT(A68,4)&amp;A75,CertSalary))+SUM(IF(CertFund&amp;CertProg&amp;CertObj=RIGHT(LEFT($A$2,7),2)&amp;LEFT(A69,4)&amp;A75,CertSalary))+SUM(IF(CertFund&amp;CertProg&amp;CertObj=RIGHT(LEFT($A$2,7),2)&amp;LEFT(A70,4)&amp;A75,CertSalary))+SUM(IF(CertFund&amp;CertProg&amp;CertObj=RIGHT(LEFT($A$2,7),2)&amp;LEFT(A71,4)&amp;A75,CertSalary))+SUM(IF(CertFund&amp;CertProg&amp;CertObj=RIGHT(LEFT($A$2,7),2)&amp;LEFT(A72,4)&amp;A75,CertSalary))+SUM(IF(CertFund&amp;CertProg&amp;CertObj=RIGHT(LEFT($A$2,7),2)&amp;LEFT(A73,4)&amp;A75,CertSalary))+SUM(IF(CertFund&amp;CertProg&amp;CertObj=RIGHT(LEFT($A$2,7),2)&amp;LEFT(A74,4)&amp;A75,CertSalary))</f>
        <v>0</v>
      </c>
      <c r="H75" s="584">
        <v>0</v>
      </c>
      <c r="I75" s="575">
        <f>SUM(G75+H75)</f>
        <v>0</v>
      </c>
    </row>
    <row r="76" spans="1:9" x14ac:dyDescent="0.15">
      <c r="A76" s="311" t="s">
        <v>1577</v>
      </c>
      <c r="B76" s="583" t="s">
        <v>1240</v>
      </c>
      <c r="C76" s="312" t="s">
        <v>510</v>
      </c>
      <c r="D76" s="316">
        <v>0</v>
      </c>
      <c r="E76" s="316">
        <v>0</v>
      </c>
      <c r="F76" s="316">
        <v>0</v>
      </c>
      <c r="G76" s="316">
        <v>0</v>
      </c>
      <c r="H76" s="584">
        <v>0</v>
      </c>
      <c r="I76" s="575">
        <f>SUM(G76+H76)</f>
        <v>0</v>
      </c>
    </row>
    <row r="77" spans="1:9" x14ac:dyDescent="0.15">
      <c r="A77" s="311" t="s">
        <v>1578</v>
      </c>
      <c r="B77" s="583" t="s">
        <v>1244</v>
      </c>
      <c r="C77" s="312" t="s">
        <v>588</v>
      </c>
      <c r="D77" s="316">
        <v>0</v>
      </c>
      <c r="E77" s="316">
        <v>0</v>
      </c>
      <c r="F77" s="316">
        <v>0</v>
      </c>
      <c r="G77" s="529">
        <f t="array" ref="G77">SUM(IF(CertFund&amp;CertProg&amp;CertObj=RIGHT(LEFT($A$2,7),2)&amp;LEFT(A64,4)&amp;A75,CertBen))+SUM(IF(CertFund&amp;CertProg&amp;CertObj=RIGHT(LEFT($A$2,7),2)&amp;LEFT(A65,4)&amp;A75,CertBen))+SUM(IF(CertFund&amp;CertProg&amp;CertObj=RIGHT(LEFT($A$2,7),2)&amp;LEFT(A66,4)&amp;A75,CertBen))+SUM(IF(CertFund&amp;CertProg&amp;CertObj=RIGHT(LEFT($A$2,7),2)&amp;LEFT(A67,4)&amp;A75,CertBen))+SUM(IF(CertFund&amp;CertProg&amp;CertObj=RIGHT(LEFT($A$2,7),2)&amp;LEFT(A68,4)&amp;A75,CertBen))+SUM(IF(CertFund&amp;CertProg&amp;CertObj=RIGHT(LEFT($A$2,7),2)&amp;LEFT(A69,4)&amp;A75,CertBen))+SUM(IF(CertFund&amp;CertProg&amp;CertObj=RIGHT(LEFT($A$2,7),2)&amp;LEFT(A70,4)&amp;A75,CertBen))+SUM(IF(CertFund&amp;CertProg&amp;CertObj=RIGHT(LEFT($A$2,7),2)&amp;LEFT(A71,4)&amp;A75,CertBen))+SUM(IF(CertFund&amp;CertProg&amp;CertObj=RIGHT(LEFT($A$2,7),2)&amp;LEFT(A72,4)&amp;A75,CertBen))+SUM(IF(CertFund&amp;CertProg&amp;CertObj=RIGHT(LEFT($A$2,7),2)&amp;LEFT(A73,4)&amp;A75,CertBen))+SUM(IF(CertFund&amp;CertProg&amp;CertObj=RIGHT(LEFT($A$2,7),2)&amp;LEFT(A75,4)&amp;A75,CertBen))</f>
        <v>0</v>
      </c>
      <c r="H77" s="584">
        <v>0</v>
      </c>
      <c r="I77" s="575">
        <f>SUM(G77+H77)</f>
        <v>0</v>
      </c>
    </row>
    <row r="78" spans="1:9" x14ac:dyDescent="0.15">
      <c r="A78" s="311" t="s">
        <v>1578</v>
      </c>
      <c r="B78" s="583" t="s">
        <v>1244</v>
      </c>
      <c r="C78" s="312" t="s">
        <v>511</v>
      </c>
      <c r="D78" s="316">
        <v>0</v>
      </c>
      <c r="E78" s="316">
        <v>0</v>
      </c>
      <c r="F78" s="316">
        <v>0</v>
      </c>
      <c r="G78" s="316">
        <v>0</v>
      </c>
      <c r="H78" s="584">
        <v>0</v>
      </c>
      <c r="I78" s="587">
        <f>SUM(G78+H78)</f>
        <v>0</v>
      </c>
    </row>
    <row r="79" spans="1:9" x14ac:dyDescent="0.15">
      <c r="A79" s="152" t="s">
        <v>1579</v>
      </c>
      <c r="B79" s="160" t="s">
        <v>1279</v>
      </c>
      <c r="C79" s="115" t="s">
        <v>118</v>
      </c>
      <c r="D79" s="147">
        <v>0</v>
      </c>
      <c r="E79" s="147">
        <v>0</v>
      </c>
      <c r="F79" s="147">
        <v>0</v>
      </c>
      <c r="G79" s="147">
        <v>0</v>
      </c>
      <c r="H79" s="147">
        <v>0</v>
      </c>
      <c r="I79" s="536">
        <f t="shared" ref="I79:I109" si="5">G79+H79</f>
        <v>0</v>
      </c>
    </row>
    <row r="80" spans="1:9" x14ac:dyDescent="0.15">
      <c r="A80" s="152" t="s">
        <v>1580</v>
      </c>
      <c r="B80" s="160" t="s">
        <v>1280</v>
      </c>
      <c r="C80" s="115" t="s">
        <v>119</v>
      </c>
      <c r="D80" s="147">
        <v>0</v>
      </c>
      <c r="E80" s="147">
        <v>0</v>
      </c>
      <c r="F80" s="147">
        <v>0</v>
      </c>
      <c r="G80" s="147">
        <v>0</v>
      </c>
      <c r="H80" s="147">
        <v>0</v>
      </c>
      <c r="I80" s="536">
        <f t="shared" si="5"/>
        <v>0</v>
      </c>
    </row>
    <row r="81" spans="1:9" x14ac:dyDescent="0.15">
      <c r="A81" s="152" t="s">
        <v>120</v>
      </c>
      <c r="B81" s="160" t="s">
        <v>1281</v>
      </c>
      <c r="C81" s="115" t="s">
        <v>121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536">
        <f t="shared" si="5"/>
        <v>0</v>
      </c>
    </row>
    <row r="82" spans="1:9" x14ac:dyDescent="0.15">
      <c r="A82" s="152" t="s">
        <v>122</v>
      </c>
      <c r="B82" s="160" t="s">
        <v>1282</v>
      </c>
      <c r="C82" s="115" t="s">
        <v>123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536">
        <f t="shared" si="5"/>
        <v>0</v>
      </c>
    </row>
    <row r="83" spans="1:9" x14ac:dyDescent="0.15">
      <c r="A83" s="152" t="s">
        <v>1581</v>
      </c>
      <c r="B83" s="160" t="s">
        <v>1287</v>
      </c>
      <c r="C83" s="115" t="s">
        <v>124</v>
      </c>
      <c r="D83" s="147">
        <v>0</v>
      </c>
      <c r="E83" s="147">
        <v>0</v>
      </c>
      <c r="F83" s="147">
        <v>0</v>
      </c>
      <c r="G83" s="147">
        <v>0</v>
      </c>
      <c r="H83" s="147">
        <v>0</v>
      </c>
      <c r="I83" s="536">
        <f t="shared" si="5"/>
        <v>0</v>
      </c>
    </row>
    <row r="84" spans="1:9" x14ac:dyDescent="0.15">
      <c r="A84" s="152" t="s">
        <v>125</v>
      </c>
      <c r="B84" s="160" t="s">
        <v>1288</v>
      </c>
      <c r="C84" s="115" t="s">
        <v>133</v>
      </c>
      <c r="D84" s="147">
        <v>0</v>
      </c>
      <c r="E84" s="147">
        <v>0</v>
      </c>
      <c r="F84" s="147">
        <v>0</v>
      </c>
      <c r="G84" s="147">
        <v>0</v>
      </c>
      <c r="H84" s="147">
        <v>0</v>
      </c>
      <c r="I84" s="536">
        <f t="shared" si="5"/>
        <v>0</v>
      </c>
    </row>
    <row r="85" spans="1:9" x14ac:dyDescent="0.15">
      <c r="A85" s="152" t="s">
        <v>126</v>
      </c>
      <c r="B85" s="160" t="s">
        <v>1289</v>
      </c>
      <c r="C85" s="115" t="s">
        <v>187</v>
      </c>
      <c r="D85" s="147">
        <v>0</v>
      </c>
      <c r="E85" s="147">
        <v>0</v>
      </c>
      <c r="F85" s="147">
        <v>0</v>
      </c>
      <c r="G85" s="147">
        <v>0</v>
      </c>
      <c r="H85" s="147">
        <v>0</v>
      </c>
      <c r="I85" s="536">
        <f t="shared" si="5"/>
        <v>0</v>
      </c>
    </row>
    <row r="86" spans="1:9" x14ac:dyDescent="0.15">
      <c r="A86" s="152" t="s">
        <v>127</v>
      </c>
      <c r="B86" s="160" t="s">
        <v>1290</v>
      </c>
      <c r="C86" s="115" t="s">
        <v>134</v>
      </c>
      <c r="D86" s="147">
        <v>0</v>
      </c>
      <c r="E86" s="147">
        <v>0</v>
      </c>
      <c r="F86" s="147">
        <v>0</v>
      </c>
      <c r="G86" s="147">
        <v>0</v>
      </c>
      <c r="H86" s="147">
        <v>0</v>
      </c>
      <c r="I86" s="536">
        <f t="shared" si="5"/>
        <v>0</v>
      </c>
    </row>
    <row r="87" spans="1:9" x14ac:dyDescent="0.15">
      <c r="A87" s="152" t="s">
        <v>128</v>
      </c>
      <c r="B87" s="160" t="s">
        <v>1291</v>
      </c>
      <c r="C87" s="115" t="s">
        <v>135</v>
      </c>
      <c r="D87" s="147">
        <v>0</v>
      </c>
      <c r="E87" s="147">
        <v>0</v>
      </c>
      <c r="F87" s="147">
        <v>0</v>
      </c>
      <c r="G87" s="147">
        <v>0</v>
      </c>
      <c r="H87" s="147">
        <v>0</v>
      </c>
      <c r="I87" s="536">
        <f t="shared" si="5"/>
        <v>0</v>
      </c>
    </row>
    <row r="88" spans="1:9" x14ac:dyDescent="0.15">
      <c r="A88" s="152" t="s">
        <v>129</v>
      </c>
      <c r="B88" s="160" t="s">
        <v>1292</v>
      </c>
      <c r="C88" s="115" t="s">
        <v>136</v>
      </c>
      <c r="D88" s="147">
        <v>0</v>
      </c>
      <c r="E88" s="147">
        <v>0</v>
      </c>
      <c r="F88" s="147">
        <v>0</v>
      </c>
      <c r="G88" s="147">
        <v>0</v>
      </c>
      <c r="H88" s="147">
        <v>0</v>
      </c>
      <c r="I88" s="536">
        <f t="shared" si="5"/>
        <v>0</v>
      </c>
    </row>
    <row r="89" spans="1:9" x14ac:dyDescent="0.15">
      <c r="A89" s="152" t="s">
        <v>131</v>
      </c>
      <c r="B89" s="160" t="s">
        <v>1293</v>
      </c>
      <c r="C89" s="115" t="s">
        <v>137</v>
      </c>
      <c r="D89" s="147">
        <v>0</v>
      </c>
      <c r="E89" s="147">
        <v>0</v>
      </c>
      <c r="F89" s="147">
        <v>0</v>
      </c>
      <c r="G89" s="147">
        <v>0</v>
      </c>
      <c r="H89" s="147">
        <v>0</v>
      </c>
      <c r="I89" s="536">
        <f t="shared" si="5"/>
        <v>0</v>
      </c>
    </row>
    <row r="90" spans="1:9" x14ac:dyDescent="0.15">
      <c r="A90" s="152" t="s">
        <v>132</v>
      </c>
      <c r="B90" s="160" t="s">
        <v>1294</v>
      </c>
      <c r="C90" s="115" t="s">
        <v>1617</v>
      </c>
      <c r="D90" s="147">
        <v>0</v>
      </c>
      <c r="E90" s="147">
        <v>0</v>
      </c>
      <c r="F90" s="147">
        <v>0</v>
      </c>
      <c r="G90" s="147">
        <v>0</v>
      </c>
      <c r="H90" s="147">
        <v>0</v>
      </c>
      <c r="I90" s="536">
        <f t="shared" si="5"/>
        <v>0</v>
      </c>
    </row>
    <row r="91" spans="1:9" x14ac:dyDescent="0.15">
      <c r="A91" s="152" t="s">
        <v>1624</v>
      </c>
      <c r="B91" s="160" t="s">
        <v>1295</v>
      </c>
      <c r="C91" s="115" t="s">
        <v>840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536">
        <f t="shared" si="5"/>
        <v>0</v>
      </c>
    </row>
    <row r="92" spans="1:9" x14ac:dyDescent="0.15">
      <c r="A92" s="152" t="s">
        <v>1625</v>
      </c>
      <c r="B92" s="160" t="s">
        <v>1296</v>
      </c>
      <c r="C92" s="115" t="s">
        <v>842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536">
        <f t="shared" si="5"/>
        <v>0</v>
      </c>
    </row>
    <row r="93" spans="1:9" x14ac:dyDescent="0.15">
      <c r="A93" s="152" t="s">
        <v>843</v>
      </c>
      <c r="B93" s="160" t="s">
        <v>1297</v>
      </c>
      <c r="C93" s="115" t="s">
        <v>848</v>
      </c>
      <c r="D93" s="147">
        <v>0</v>
      </c>
      <c r="E93" s="147">
        <v>0</v>
      </c>
      <c r="F93" s="147">
        <v>0</v>
      </c>
      <c r="G93" s="147">
        <v>0</v>
      </c>
      <c r="H93" s="147">
        <v>0</v>
      </c>
      <c r="I93" s="536">
        <f t="shared" si="5"/>
        <v>0</v>
      </c>
    </row>
    <row r="94" spans="1:9" x14ac:dyDescent="0.15">
      <c r="A94" s="152" t="s">
        <v>844</v>
      </c>
      <c r="B94" s="160" t="s">
        <v>1298</v>
      </c>
      <c r="C94" s="115" t="s">
        <v>186</v>
      </c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536">
        <f t="shared" si="5"/>
        <v>0</v>
      </c>
    </row>
    <row r="95" spans="1:9" x14ac:dyDescent="0.15">
      <c r="A95" s="152" t="s">
        <v>845</v>
      </c>
      <c r="B95" s="160" t="s">
        <v>1299</v>
      </c>
      <c r="C95" s="115" t="s">
        <v>154</v>
      </c>
      <c r="D95" s="147">
        <v>0</v>
      </c>
      <c r="E95" s="147">
        <v>0</v>
      </c>
      <c r="F95" s="147">
        <v>0</v>
      </c>
      <c r="G95" s="147">
        <v>0</v>
      </c>
      <c r="H95" s="147">
        <v>0</v>
      </c>
      <c r="I95" s="536">
        <f t="shared" si="5"/>
        <v>0</v>
      </c>
    </row>
    <row r="96" spans="1:9" x14ac:dyDescent="0.15">
      <c r="A96" s="152" t="s">
        <v>846</v>
      </c>
      <c r="B96" s="160" t="s">
        <v>1300</v>
      </c>
      <c r="C96" s="115" t="s">
        <v>155</v>
      </c>
      <c r="D96" s="147">
        <v>0</v>
      </c>
      <c r="E96" s="147">
        <v>0</v>
      </c>
      <c r="F96" s="147">
        <v>0</v>
      </c>
      <c r="G96" s="147">
        <v>0</v>
      </c>
      <c r="H96" s="147">
        <v>0</v>
      </c>
      <c r="I96" s="536">
        <f t="shared" si="5"/>
        <v>0</v>
      </c>
    </row>
    <row r="97" spans="1:9" x14ac:dyDescent="0.15">
      <c r="A97" s="152" t="s">
        <v>1582</v>
      </c>
      <c r="B97" s="160" t="s">
        <v>1301</v>
      </c>
      <c r="C97" s="115" t="s">
        <v>156</v>
      </c>
      <c r="D97" s="147">
        <v>0</v>
      </c>
      <c r="E97" s="147">
        <v>0</v>
      </c>
      <c r="F97" s="147">
        <v>0</v>
      </c>
      <c r="G97" s="147">
        <v>0</v>
      </c>
      <c r="H97" s="147">
        <v>0</v>
      </c>
      <c r="I97" s="536">
        <f t="shared" si="5"/>
        <v>0</v>
      </c>
    </row>
    <row r="98" spans="1:9" x14ac:dyDescent="0.15">
      <c r="A98" s="152" t="s">
        <v>847</v>
      </c>
      <c r="B98" s="160" t="s">
        <v>1302</v>
      </c>
      <c r="C98" s="115" t="s">
        <v>157</v>
      </c>
      <c r="D98" s="147">
        <v>0</v>
      </c>
      <c r="E98" s="147">
        <v>0</v>
      </c>
      <c r="F98" s="147">
        <v>0</v>
      </c>
      <c r="G98" s="147">
        <v>0</v>
      </c>
      <c r="H98" s="147">
        <v>0</v>
      </c>
      <c r="I98" s="536">
        <f t="shared" si="5"/>
        <v>0</v>
      </c>
    </row>
    <row r="99" spans="1:9" x14ac:dyDescent="0.15">
      <c r="A99" s="152" t="s">
        <v>1583</v>
      </c>
      <c r="B99" s="160" t="s">
        <v>1303</v>
      </c>
      <c r="C99" s="115" t="s">
        <v>160</v>
      </c>
      <c r="D99" s="147">
        <v>0</v>
      </c>
      <c r="E99" s="147">
        <v>0</v>
      </c>
      <c r="F99" s="147">
        <v>0</v>
      </c>
      <c r="G99" s="147">
        <v>0</v>
      </c>
      <c r="H99" s="147">
        <v>0</v>
      </c>
      <c r="I99" s="536">
        <f t="shared" si="5"/>
        <v>0</v>
      </c>
    </row>
    <row r="100" spans="1:9" x14ac:dyDescent="0.15">
      <c r="A100" s="152" t="s">
        <v>634</v>
      </c>
      <c r="B100" s="160" t="s">
        <v>1304</v>
      </c>
      <c r="C100" s="115" t="s">
        <v>165</v>
      </c>
      <c r="D100" s="147">
        <v>0</v>
      </c>
      <c r="E100" s="147">
        <v>0</v>
      </c>
      <c r="F100" s="147">
        <v>0</v>
      </c>
      <c r="G100" s="147">
        <v>0</v>
      </c>
      <c r="H100" s="147">
        <v>0</v>
      </c>
      <c r="I100" s="536">
        <f t="shared" si="5"/>
        <v>0</v>
      </c>
    </row>
    <row r="101" spans="1:9" x14ac:dyDescent="0.15">
      <c r="A101" s="152" t="s">
        <v>202</v>
      </c>
      <c r="B101" s="160" t="s">
        <v>1305</v>
      </c>
      <c r="C101" s="115" t="s">
        <v>171</v>
      </c>
      <c r="D101" s="147">
        <v>0</v>
      </c>
      <c r="E101" s="147">
        <v>0</v>
      </c>
      <c r="F101" s="147">
        <v>0</v>
      </c>
      <c r="G101" s="147">
        <v>0</v>
      </c>
      <c r="H101" s="147">
        <v>0</v>
      </c>
      <c r="I101" s="536">
        <f t="shared" si="5"/>
        <v>0</v>
      </c>
    </row>
    <row r="102" spans="1:9" x14ac:dyDescent="0.15">
      <c r="A102" s="152" t="s">
        <v>630</v>
      </c>
      <c r="B102" s="160" t="s">
        <v>1306</v>
      </c>
      <c r="C102" s="115" t="s">
        <v>172</v>
      </c>
      <c r="D102" s="147">
        <v>0</v>
      </c>
      <c r="E102" s="147">
        <v>0</v>
      </c>
      <c r="F102" s="147">
        <v>0</v>
      </c>
      <c r="G102" s="147">
        <v>0</v>
      </c>
      <c r="H102" s="147">
        <v>0</v>
      </c>
      <c r="I102" s="536">
        <f t="shared" si="5"/>
        <v>0</v>
      </c>
    </row>
    <row r="103" spans="1:9" x14ac:dyDescent="0.15">
      <c r="A103" s="652" t="s">
        <v>631</v>
      </c>
      <c r="B103" s="654" t="s">
        <v>1307</v>
      </c>
      <c r="C103" s="653" t="s">
        <v>173</v>
      </c>
      <c r="D103" s="147">
        <v>0</v>
      </c>
      <c r="E103" s="147">
        <v>0</v>
      </c>
      <c r="F103" s="147">
        <v>0</v>
      </c>
      <c r="G103" s="147">
        <v>0</v>
      </c>
      <c r="H103" s="147">
        <v>0</v>
      </c>
      <c r="I103" s="536">
        <f t="shared" si="5"/>
        <v>0</v>
      </c>
    </row>
    <row r="104" spans="1:9" x14ac:dyDescent="0.15">
      <c r="A104" s="152" t="s">
        <v>1584</v>
      </c>
      <c r="B104" s="160" t="s">
        <v>1308</v>
      </c>
      <c r="C104" s="115" t="s">
        <v>178</v>
      </c>
      <c r="D104" s="147">
        <v>0</v>
      </c>
      <c r="E104" s="147">
        <v>0</v>
      </c>
      <c r="F104" s="147">
        <v>0</v>
      </c>
      <c r="G104" s="147">
        <v>0</v>
      </c>
      <c r="H104" s="147">
        <v>0</v>
      </c>
      <c r="I104" s="536">
        <f t="shared" si="5"/>
        <v>0</v>
      </c>
    </row>
    <row r="105" spans="1:9" x14ac:dyDescent="0.15">
      <c r="A105" s="152" t="s">
        <v>174</v>
      </c>
      <c r="B105" s="160" t="s">
        <v>1309</v>
      </c>
      <c r="C105" s="115" t="s">
        <v>179</v>
      </c>
      <c r="D105" s="147">
        <v>0</v>
      </c>
      <c r="E105" s="147">
        <v>0</v>
      </c>
      <c r="F105" s="147">
        <v>0</v>
      </c>
      <c r="G105" s="147">
        <v>0</v>
      </c>
      <c r="H105" s="147">
        <v>0</v>
      </c>
      <c r="I105" s="536">
        <f t="shared" si="5"/>
        <v>0</v>
      </c>
    </row>
    <row r="106" spans="1:9" x14ac:dyDescent="0.15">
      <c r="A106" s="152" t="s">
        <v>175</v>
      </c>
      <c r="B106" s="160" t="s">
        <v>1310</v>
      </c>
      <c r="C106" s="115" t="s">
        <v>180</v>
      </c>
      <c r="D106" s="147">
        <v>0</v>
      </c>
      <c r="E106" s="147">
        <v>0</v>
      </c>
      <c r="F106" s="147">
        <v>0</v>
      </c>
      <c r="G106" s="147">
        <v>0</v>
      </c>
      <c r="H106" s="147">
        <v>0</v>
      </c>
      <c r="I106" s="536">
        <f t="shared" si="5"/>
        <v>0</v>
      </c>
    </row>
    <row r="107" spans="1:9" x14ac:dyDescent="0.15">
      <c r="A107" s="152" t="s">
        <v>176</v>
      </c>
      <c r="B107" s="160" t="s">
        <v>1311</v>
      </c>
      <c r="C107" s="115" t="s">
        <v>181</v>
      </c>
      <c r="D107" s="147">
        <v>0</v>
      </c>
      <c r="E107" s="147">
        <v>0</v>
      </c>
      <c r="F107" s="147">
        <v>0</v>
      </c>
      <c r="G107" s="147">
        <v>0</v>
      </c>
      <c r="H107" s="147">
        <v>0</v>
      </c>
      <c r="I107" s="536">
        <f t="shared" si="5"/>
        <v>0</v>
      </c>
    </row>
    <row r="108" spans="1:9" x14ac:dyDescent="0.15">
      <c r="A108" s="152" t="s">
        <v>177</v>
      </c>
      <c r="B108" s="160" t="s">
        <v>1312</v>
      </c>
      <c r="C108" s="115" t="s">
        <v>182</v>
      </c>
      <c r="D108" s="147">
        <v>0</v>
      </c>
      <c r="E108" s="147">
        <v>0</v>
      </c>
      <c r="F108" s="147">
        <v>0</v>
      </c>
      <c r="G108" s="147">
        <v>0</v>
      </c>
      <c r="H108" s="147">
        <v>0</v>
      </c>
      <c r="I108" s="536">
        <f t="shared" si="5"/>
        <v>0</v>
      </c>
    </row>
    <row r="109" spans="1:9" x14ac:dyDescent="0.15">
      <c r="A109" s="152" t="s">
        <v>632</v>
      </c>
      <c r="B109" s="160" t="s">
        <v>1313</v>
      </c>
      <c r="C109" s="115" t="s">
        <v>183</v>
      </c>
      <c r="D109" s="147">
        <v>0</v>
      </c>
      <c r="E109" s="147">
        <v>0</v>
      </c>
      <c r="F109" s="147">
        <v>0</v>
      </c>
      <c r="G109" s="147">
        <v>0</v>
      </c>
      <c r="H109" s="147">
        <v>0</v>
      </c>
      <c r="I109" s="536">
        <f t="shared" si="5"/>
        <v>0</v>
      </c>
    </row>
    <row r="110" spans="1:9" ht="11.25" thickBot="1" x14ac:dyDescent="0.2">
      <c r="A110" s="152"/>
      <c r="B110" s="115"/>
      <c r="G110" s="159"/>
      <c r="I110" s="167"/>
    </row>
    <row r="111" spans="1:9" ht="12" thickTop="1" thickBot="1" x14ac:dyDescent="0.2">
      <c r="A111" s="152"/>
      <c r="B111" s="152" t="s">
        <v>1314</v>
      </c>
      <c r="C111" s="172" t="s">
        <v>1048</v>
      </c>
      <c r="D111" s="180">
        <f t="shared" ref="D111:I111" si="6">SUM(D75:D109)</f>
        <v>0</v>
      </c>
      <c r="E111" s="180">
        <f t="shared" si="6"/>
        <v>0</v>
      </c>
      <c r="F111" s="180">
        <f t="shared" si="6"/>
        <v>0</v>
      </c>
      <c r="G111" s="180">
        <f t="shared" si="6"/>
        <v>0</v>
      </c>
      <c r="H111" s="180">
        <f t="shared" si="6"/>
        <v>0</v>
      </c>
      <c r="I111" s="180">
        <f t="shared" si="6"/>
        <v>0</v>
      </c>
    </row>
    <row r="112" spans="1:9" ht="11.25" thickTop="1" x14ac:dyDescent="0.15">
      <c r="A112" s="152"/>
      <c r="B112" s="115"/>
      <c r="G112" s="159"/>
      <c r="I112" s="167"/>
    </row>
    <row r="113" spans="1:9" x14ac:dyDescent="0.15">
      <c r="A113" s="152" t="s">
        <v>1521</v>
      </c>
      <c r="B113" s="152" t="s">
        <v>1315</v>
      </c>
      <c r="C113" s="172" t="s">
        <v>1155</v>
      </c>
      <c r="D113" s="147">
        <v>0</v>
      </c>
      <c r="E113" s="147">
        <v>0</v>
      </c>
      <c r="F113" s="147">
        <v>0</v>
      </c>
      <c r="G113" s="147">
        <v>0</v>
      </c>
      <c r="H113" s="147">
        <v>0</v>
      </c>
      <c r="I113" s="536">
        <f>G113+H113</f>
        <v>0</v>
      </c>
    </row>
    <row r="114" spans="1:9" x14ac:dyDescent="0.15">
      <c r="A114" s="152"/>
      <c r="B114" s="152" t="s">
        <v>41</v>
      </c>
      <c r="C114" s="665" t="s">
        <v>862</v>
      </c>
      <c r="D114" s="529">
        <f t="shared" ref="D114:I114" si="7">+D22</f>
        <v>0</v>
      </c>
      <c r="E114" s="529">
        <f t="shared" si="7"/>
        <v>0</v>
      </c>
      <c r="F114" s="529">
        <f t="shared" si="7"/>
        <v>0</v>
      </c>
      <c r="G114" s="529">
        <f t="shared" si="7"/>
        <v>0</v>
      </c>
      <c r="H114" s="529">
        <f t="shared" si="7"/>
        <v>0</v>
      </c>
      <c r="I114" s="529">
        <f t="shared" si="7"/>
        <v>0</v>
      </c>
    </row>
    <row r="115" spans="1:9" ht="11.25" thickBot="1" x14ac:dyDescent="0.2">
      <c r="A115" s="152"/>
      <c r="B115" s="115"/>
      <c r="G115" s="159"/>
      <c r="I115" s="167"/>
    </row>
    <row r="116" spans="1:9" ht="12" thickTop="1" thickBot="1" x14ac:dyDescent="0.2">
      <c r="B116" s="160" t="s">
        <v>1316</v>
      </c>
      <c r="C116" s="18" t="s">
        <v>42</v>
      </c>
      <c r="D116" s="180">
        <f t="shared" ref="D116:I116" si="8">D61+D111+D113+D114</f>
        <v>0</v>
      </c>
      <c r="E116" s="180">
        <f t="shared" si="8"/>
        <v>0</v>
      </c>
      <c r="F116" s="180">
        <f t="shared" si="8"/>
        <v>0</v>
      </c>
      <c r="G116" s="180">
        <f t="shared" si="8"/>
        <v>0</v>
      </c>
      <c r="H116" s="180">
        <f t="shared" si="8"/>
        <v>0</v>
      </c>
      <c r="I116" s="180">
        <f t="shared" si="8"/>
        <v>0</v>
      </c>
    </row>
    <row r="117" spans="1:9" ht="11.25" thickTop="1" x14ac:dyDescent="0.15">
      <c r="A117" s="152"/>
      <c r="B117" s="115"/>
      <c r="G117" s="159"/>
      <c r="I117" s="167"/>
    </row>
    <row r="118" spans="1:9" x14ac:dyDescent="0.15">
      <c r="A118" s="152"/>
      <c r="B118" s="115"/>
      <c r="G118" s="159"/>
      <c r="I118" s="167"/>
    </row>
    <row r="119" spans="1:9" x14ac:dyDescent="0.15">
      <c r="A119" s="155" t="s">
        <v>110</v>
      </c>
      <c r="C119" s="210" t="s">
        <v>737</v>
      </c>
      <c r="D119" s="159"/>
      <c r="E119" s="159"/>
      <c r="F119" s="159"/>
      <c r="G119" s="159"/>
      <c r="I119" s="167"/>
    </row>
    <row r="120" spans="1:9" x14ac:dyDescent="0.15">
      <c r="A120" s="154" t="s">
        <v>1522</v>
      </c>
      <c r="B120" s="160" t="s">
        <v>1317</v>
      </c>
      <c r="C120" s="115" t="s">
        <v>1516</v>
      </c>
      <c r="D120" s="41">
        <v>0</v>
      </c>
      <c r="E120" s="41">
        <v>0</v>
      </c>
      <c r="F120" s="41">
        <v>0</v>
      </c>
      <c r="G120" s="41">
        <v>0</v>
      </c>
      <c r="H120" s="147">
        <v>0</v>
      </c>
      <c r="I120" s="536">
        <f>G120+H120</f>
        <v>0</v>
      </c>
    </row>
    <row r="121" spans="1:9" x14ac:dyDescent="0.15">
      <c r="A121" s="154" t="s">
        <v>1523</v>
      </c>
      <c r="B121" s="160" t="s">
        <v>1318</v>
      </c>
      <c r="C121" s="115" t="s">
        <v>1517</v>
      </c>
      <c r="D121" s="41">
        <v>0</v>
      </c>
      <c r="E121" s="41">
        <v>0</v>
      </c>
      <c r="F121" s="41">
        <v>0</v>
      </c>
      <c r="G121" s="41">
        <v>0</v>
      </c>
      <c r="H121" s="147">
        <v>0</v>
      </c>
      <c r="I121" s="536">
        <f>G121+H121</f>
        <v>0</v>
      </c>
    </row>
    <row r="122" spans="1:9" s="176" customFormat="1" x14ac:dyDescent="0.15">
      <c r="A122" s="154" t="s">
        <v>1524</v>
      </c>
      <c r="B122" s="160" t="s">
        <v>1319</v>
      </c>
      <c r="C122" s="115" t="s">
        <v>1518</v>
      </c>
      <c r="D122" s="41">
        <v>0</v>
      </c>
      <c r="E122" s="41">
        <v>0</v>
      </c>
      <c r="F122" s="41">
        <v>0</v>
      </c>
      <c r="G122" s="41">
        <v>0</v>
      </c>
      <c r="H122" s="147">
        <v>0</v>
      </c>
      <c r="I122" s="536">
        <f>G122+H122</f>
        <v>0</v>
      </c>
    </row>
    <row r="123" spans="1:9" x14ac:dyDescent="0.15">
      <c r="A123" s="725" t="s">
        <v>1675</v>
      </c>
      <c r="B123" s="160" t="s">
        <v>1320</v>
      </c>
      <c r="C123" s="692" t="s">
        <v>1676</v>
      </c>
      <c r="D123" s="41">
        <v>0</v>
      </c>
      <c r="E123" s="41">
        <v>0</v>
      </c>
      <c r="F123" s="41">
        <v>0</v>
      </c>
      <c r="G123" s="41">
        <v>0</v>
      </c>
      <c r="H123" s="147">
        <v>0</v>
      </c>
      <c r="I123" s="536">
        <f>G123+H123</f>
        <v>0</v>
      </c>
    </row>
    <row r="124" spans="1:9" ht="11.25" thickBot="1" x14ac:dyDescent="0.2">
      <c r="A124" s="154" t="s">
        <v>1526</v>
      </c>
      <c r="B124" s="160" t="s">
        <v>796</v>
      </c>
      <c r="C124" s="115" t="s">
        <v>1520</v>
      </c>
      <c r="D124" s="150">
        <v>0</v>
      </c>
      <c r="E124" s="150">
        <v>0</v>
      </c>
      <c r="F124" s="150">
        <v>0</v>
      </c>
      <c r="G124" s="150">
        <v>0</v>
      </c>
      <c r="H124" s="147">
        <v>0</v>
      </c>
      <c r="I124" s="536">
        <f>G124+H124</f>
        <v>0</v>
      </c>
    </row>
    <row r="125" spans="1:9" ht="12" thickTop="1" thickBot="1" x14ac:dyDescent="0.2">
      <c r="A125" s="149"/>
      <c r="B125" s="160" t="s">
        <v>805</v>
      </c>
      <c r="C125" s="115" t="s">
        <v>1049</v>
      </c>
      <c r="D125" s="151">
        <f t="shared" ref="D125:I125" si="9">SUM(D120:D124)</f>
        <v>0</v>
      </c>
      <c r="E125" s="151">
        <f t="shared" si="9"/>
        <v>0</v>
      </c>
      <c r="F125" s="151">
        <f t="shared" si="9"/>
        <v>0</v>
      </c>
      <c r="G125" s="151">
        <f t="shared" si="9"/>
        <v>0</v>
      </c>
      <c r="H125" s="151">
        <f t="shared" si="9"/>
        <v>0</v>
      </c>
      <c r="I125" s="169">
        <f t="shared" si="9"/>
        <v>0</v>
      </c>
    </row>
    <row r="126" spans="1:9" ht="12" thickTop="1" thickBot="1" x14ac:dyDescent="0.2">
      <c r="A126" s="149"/>
      <c r="C126" s="115"/>
      <c r="D126" s="159"/>
      <c r="E126" s="159"/>
      <c r="F126" s="159"/>
      <c r="G126" s="159"/>
      <c r="I126" s="167"/>
    </row>
    <row r="127" spans="1:9" ht="11.25" thickBot="1" x14ac:dyDescent="0.2">
      <c r="A127" s="776" t="s">
        <v>1050</v>
      </c>
      <c r="B127" s="776"/>
      <c r="C127" s="777"/>
      <c r="D127" s="171">
        <f t="shared" ref="D127:I127" si="10">D116+D125</f>
        <v>0</v>
      </c>
      <c r="E127" s="171">
        <f t="shared" si="10"/>
        <v>0</v>
      </c>
      <c r="F127" s="171">
        <f t="shared" si="10"/>
        <v>0</v>
      </c>
      <c r="G127" s="171">
        <f t="shared" si="10"/>
        <v>0</v>
      </c>
      <c r="H127" s="171">
        <f t="shared" si="10"/>
        <v>0</v>
      </c>
      <c r="I127" s="171">
        <f t="shared" si="10"/>
        <v>0</v>
      </c>
    </row>
    <row r="128" spans="1:9" x14ac:dyDescent="0.15">
      <c r="A128" s="149"/>
      <c r="C128" s="115" t="s">
        <v>725</v>
      </c>
      <c r="D128" s="159"/>
      <c r="E128" s="159"/>
      <c r="F128" s="159"/>
      <c r="G128" s="159"/>
      <c r="I128" s="167"/>
    </row>
    <row r="129" spans="1:9" ht="11.25" thickBot="1" x14ac:dyDescent="0.2">
      <c r="A129" s="149"/>
      <c r="C129" s="115"/>
      <c r="D129" s="159"/>
      <c r="E129" s="159"/>
      <c r="F129" s="159"/>
      <c r="G129" s="159"/>
      <c r="I129" s="167"/>
    </row>
    <row r="130" spans="1:9" ht="12" thickTop="1" thickBot="1" x14ac:dyDescent="0.2">
      <c r="C130" s="172" t="s">
        <v>726</v>
      </c>
      <c r="D130" s="173">
        <f t="shared" ref="D130:I130" si="11">D19</f>
        <v>0</v>
      </c>
      <c r="E130" s="173">
        <f t="shared" si="11"/>
        <v>0</v>
      </c>
      <c r="F130" s="173">
        <f t="shared" si="11"/>
        <v>0</v>
      </c>
      <c r="G130" s="173">
        <f t="shared" si="11"/>
        <v>0</v>
      </c>
      <c r="H130" s="173">
        <f t="shared" si="11"/>
        <v>0</v>
      </c>
      <c r="I130" s="173">
        <f t="shared" si="11"/>
        <v>0</v>
      </c>
    </row>
    <row r="131" spans="1:9" ht="11.25" thickTop="1" x14ac:dyDescent="0.15">
      <c r="I131" s="167"/>
    </row>
    <row r="132" spans="1:9" x14ac:dyDescent="0.15">
      <c r="C132" s="172" t="s">
        <v>727</v>
      </c>
      <c r="D132" s="158">
        <f t="shared" ref="D132:I132" si="12">D127-D130</f>
        <v>0</v>
      </c>
      <c r="E132" s="158">
        <f t="shared" si="12"/>
        <v>0</v>
      </c>
      <c r="F132" s="158">
        <f t="shared" si="12"/>
        <v>0</v>
      </c>
      <c r="G132" s="158">
        <f t="shared" si="12"/>
        <v>0</v>
      </c>
      <c r="H132" s="158">
        <f t="shared" si="12"/>
        <v>0</v>
      </c>
      <c r="I132" s="167">
        <f t="shared" si="12"/>
        <v>0</v>
      </c>
    </row>
    <row r="133" spans="1:9" x14ac:dyDescent="0.15">
      <c r="I133" s="167"/>
    </row>
    <row r="134" spans="1:9" x14ac:dyDescent="0.15">
      <c r="I134" s="167"/>
    </row>
    <row r="135" spans="1:9" x14ac:dyDescent="0.15">
      <c r="A135" s="158" t="s">
        <v>1047</v>
      </c>
    </row>
    <row r="136" spans="1:9" x14ac:dyDescent="0.15">
      <c r="A136" s="158" t="s">
        <v>39</v>
      </c>
    </row>
    <row r="137" spans="1:9" x14ac:dyDescent="0.15">
      <c r="A137" s="115" t="s">
        <v>38</v>
      </c>
    </row>
  </sheetData>
  <sheetProtection password="CB03" sheet="1" formatCells="0" formatColumns="0" formatRows="0"/>
  <mergeCells count="1">
    <mergeCell ref="A127:C127"/>
  </mergeCells>
  <phoneticPr fontId="0" type="noConversion"/>
  <pageMargins left="0.5" right="0.5" top="0.75" bottom="0.75" header="0.5" footer="0.5"/>
  <pageSetup scale="63" firstPageNumber="27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Y119"/>
  <sheetViews>
    <sheetView zoomScale="80" zoomScaleNormal="80" workbookViewId="0">
      <pane xSplit="3" ySplit="4" topLeftCell="L5" activePane="bottomRight" state="frozen"/>
      <selection pane="topRight" activeCell="D1" sqref="D1"/>
      <selection pane="bottomLeft" activeCell="A5" sqref="A5"/>
      <selection pane="bottomRight" activeCell="L3" sqref="L3"/>
    </sheetView>
  </sheetViews>
  <sheetFormatPr defaultRowHeight="10.5" x14ac:dyDescent="0.15"/>
  <cols>
    <col min="1" max="1" width="9.33203125" style="289"/>
    <col min="3" max="3" width="61.33203125" customWidth="1"/>
    <col min="4" max="4" width="11.5" customWidth="1"/>
    <col min="5" max="5" width="10.83203125" customWidth="1"/>
    <col min="6" max="6" width="11.83203125" customWidth="1"/>
    <col min="7" max="7" width="11.6640625" customWidth="1"/>
    <col min="8" max="8" width="11" customWidth="1"/>
    <col min="9" max="9" width="11.5" customWidth="1"/>
    <col min="10" max="10" width="12.6640625" customWidth="1"/>
    <col min="11" max="12" width="11.5" customWidth="1"/>
    <col min="13" max="21" width="13.83203125" customWidth="1"/>
    <col min="22" max="22" width="13.83203125" style="289" customWidth="1"/>
    <col min="23" max="23" width="13.83203125" customWidth="1"/>
    <col min="24" max="24" width="12.6640625" customWidth="1"/>
    <col min="25" max="25" width="12" customWidth="1"/>
  </cols>
  <sheetData>
    <row r="1" spans="1:25" ht="15.75" customHeight="1" x14ac:dyDescent="0.25">
      <c r="A1" s="325"/>
      <c r="C1" s="325"/>
      <c r="D1" s="382">
        <f t="shared" ref="D1:W1" si="0">IF(D3&gt;4000,300,IF(D3&gt;3000,200,100))</f>
        <v>100</v>
      </c>
      <c r="E1" s="382">
        <f t="shared" si="0"/>
        <v>100</v>
      </c>
      <c r="F1" s="382">
        <f t="shared" si="0"/>
        <v>100</v>
      </c>
      <c r="G1" s="382">
        <f t="shared" si="0"/>
        <v>100</v>
      </c>
      <c r="H1" s="382">
        <f t="shared" si="0"/>
        <v>100</v>
      </c>
      <c r="I1" s="382">
        <f t="shared" si="0"/>
        <v>100</v>
      </c>
      <c r="J1" s="382">
        <f t="shared" si="0"/>
        <v>100</v>
      </c>
      <c r="K1" s="382">
        <f t="shared" si="0"/>
        <v>100</v>
      </c>
      <c r="L1" s="382">
        <f t="shared" si="0"/>
        <v>100</v>
      </c>
      <c r="M1" s="382">
        <f t="shared" si="0"/>
        <v>100</v>
      </c>
      <c r="N1" s="382">
        <f t="shared" si="0"/>
        <v>100</v>
      </c>
      <c r="O1" s="382">
        <f t="shared" si="0"/>
        <v>100</v>
      </c>
      <c r="P1" s="382">
        <f t="shared" si="0"/>
        <v>100</v>
      </c>
      <c r="Q1" s="382">
        <f t="shared" si="0"/>
        <v>100</v>
      </c>
      <c r="R1" s="382">
        <f t="shared" si="0"/>
        <v>100</v>
      </c>
      <c r="S1" s="382">
        <f t="shared" si="0"/>
        <v>100</v>
      </c>
      <c r="T1" s="382">
        <f t="shared" si="0"/>
        <v>100</v>
      </c>
      <c r="U1" s="382">
        <f t="shared" si="0"/>
        <v>100</v>
      </c>
      <c r="V1" s="382">
        <f t="shared" si="0"/>
        <v>100</v>
      </c>
      <c r="W1" s="382">
        <f t="shared" si="0"/>
        <v>100</v>
      </c>
      <c r="X1" s="328"/>
    </row>
    <row r="2" spans="1:25" ht="15" x14ac:dyDescent="0.25">
      <c r="A2" s="372" t="s">
        <v>970</v>
      </c>
      <c r="C2" s="329"/>
      <c r="D2" s="382">
        <f>D1+COUNTIF($D$1:D$1,D1)</f>
        <v>101</v>
      </c>
      <c r="E2" s="382">
        <f>E1+COUNTIF($D$1:E$1,E1)</f>
        <v>102</v>
      </c>
      <c r="F2" s="382">
        <f>F1+COUNTIF($D$1:F$1,F1)</f>
        <v>103</v>
      </c>
      <c r="G2" s="382">
        <f>G1+COUNTIF($D$1:G$1,G1)</f>
        <v>104</v>
      </c>
      <c r="H2" s="382">
        <f>H1+COUNTIF($D$1:H$1,H1)</f>
        <v>105</v>
      </c>
      <c r="I2" s="382">
        <f>I1+COUNTIF($D$1:I$1,I1)</f>
        <v>106</v>
      </c>
      <c r="J2" s="382">
        <f>J1+COUNTIF($D$1:J$1,J1)</f>
        <v>107</v>
      </c>
      <c r="K2" s="382">
        <f>K1+COUNTIF($D$1:K$1,K1)</f>
        <v>108</v>
      </c>
      <c r="L2" s="382">
        <f>L1+COUNTIF($D$1:L$1,L1)</f>
        <v>109</v>
      </c>
      <c r="M2" s="382">
        <f>M1+COUNTIF($D$1:M$1,M1)</f>
        <v>110</v>
      </c>
      <c r="N2" s="382">
        <f>N1+COUNTIF($D$1:N$1,N1)</f>
        <v>111</v>
      </c>
      <c r="O2" s="382">
        <f>O1+COUNTIF($D$1:O$1,O1)</f>
        <v>112</v>
      </c>
      <c r="P2" s="382">
        <f>P1+COUNTIF($D$1:P$1,P1)</f>
        <v>113</v>
      </c>
      <c r="Q2" s="382">
        <f>Q1+COUNTIF($D$1:Q$1,Q1)</f>
        <v>114</v>
      </c>
      <c r="R2" s="382">
        <f>R1+COUNTIF($D$1:R$1,R1)</f>
        <v>115</v>
      </c>
      <c r="S2" s="382">
        <f>S1+COUNTIF($D$1:S$1,S1)</f>
        <v>116</v>
      </c>
      <c r="T2" s="382">
        <f>T1+COUNTIF($D$1:T$1,T1)</f>
        <v>117</v>
      </c>
      <c r="U2" s="382">
        <f>U1+COUNTIF($D$1:U$1,U1)</f>
        <v>118</v>
      </c>
      <c r="V2" s="382">
        <f>V1+COUNTIF($D$1:V$1,V1)</f>
        <v>119</v>
      </c>
      <c r="W2" s="382">
        <f>W1+COUNTIF($D$1:W$1,W1)</f>
        <v>120</v>
      </c>
      <c r="X2" s="328"/>
    </row>
    <row r="3" spans="1:25" s="135" customFormat="1" ht="12.75" x14ac:dyDescent="0.2">
      <c r="A3" s="367"/>
      <c r="C3" s="622" t="s">
        <v>287</v>
      </c>
      <c r="D3" s="672"/>
      <c r="E3" s="673"/>
      <c r="F3" s="673"/>
      <c r="G3" s="672"/>
      <c r="H3" s="674"/>
      <c r="I3" s="673"/>
      <c r="J3" s="673"/>
      <c r="K3" s="672"/>
      <c r="L3" s="674"/>
      <c r="M3" s="674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368"/>
    </row>
    <row r="4" spans="1:25" ht="11.25" x14ac:dyDescent="0.15">
      <c r="A4" s="330" t="s">
        <v>267</v>
      </c>
      <c r="B4" s="330" t="s">
        <v>198</v>
      </c>
      <c r="C4" s="331" t="s">
        <v>1208</v>
      </c>
      <c r="D4" s="619"/>
      <c r="E4" s="619"/>
      <c r="F4" s="619"/>
      <c r="G4" s="619"/>
      <c r="H4" s="619"/>
      <c r="I4" s="619"/>
      <c r="J4" s="620"/>
      <c r="K4" s="619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332" t="s">
        <v>1211</v>
      </c>
      <c r="Y4" s="333"/>
    </row>
    <row r="5" spans="1:25" ht="11.25" x14ac:dyDescent="0.15">
      <c r="A5" s="334"/>
      <c r="C5" s="335"/>
      <c r="D5" s="336"/>
      <c r="E5" s="336"/>
      <c r="F5" s="336"/>
      <c r="G5" s="336"/>
      <c r="H5" s="336"/>
      <c r="I5" s="336"/>
      <c r="J5" s="336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8"/>
    </row>
    <row r="6" spans="1:25" ht="11.25" x14ac:dyDescent="0.15">
      <c r="A6" s="334"/>
      <c r="C6" s="335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9"/>
    </row>
    <row r="7" spans="1:25" ht="11.25" x14ac:dyDescent="0.2">
      <c r="A7" s="340">
        <v>1</v>
      </c>
      <c r="C7" s="329" t="s">
        <v>268</v>
      </c>
      <c r="D7" s="589">
        <v>0</v>
      </c>
      <c r="E7" s="589">
        <v>0</v>
      </c>
      <c r="F7" s="589">
        <v>0</v>
      </c>
      <c r="G7" s="589">
        <v>0</v>
      </c>
      <c r="H7" s="589">
        <v>0</v>
      </c>
      <c r="I7" s="589">
        <v>0</v>
      </c>
      <c r="J7" s="589">
        <v>0</v>
      </c>
      <c r="K7" s="589">
        <v>0</v>
      </c>
      <c r="L7" s="589">
        <v>0</v>
      </c>
      <c r="M7" s="589">
        <v>0</v>
      </c>
      <c r="N7" s="589">
        <v>0</v>
      </c>
      <c r="O7" s="589">
        <v>0</v>
      </c>
      <c r="P7" s="589">
        <v>0</v>
      </c>
      <c r="Q7" s="589">
        <v>0</v>
      </c>
      <c r="R7" s="589">
        <v>0</v>
      </c>
      <c r="S7" s="589">
        <v>0</v>
      </c>
      <c r="T7" s="589">
        <v>0</v>
      </c>
      <c r="U7" s="589">
        <v>0</v>
      </c>
      <c r="V7" s="589">
        <v>0</v>
      </c>
      <c r="W7" s="589">
        <v>0</v>
      </c>
      <c r="X7" s="341">
        <f>SUM(D7:W7)</f>
        <v>0</v>
      </c>
      <c r="Y7" s="342"/>
    </row>
    <row r="8" spans="1:25" ht="11.25" x14ac:dyDescent="0.2">
      <c r="A8" s="340" t="s">
        <v>269</v>
      </c>
      <c r="C8" s="343" t="s">
        <v>43</v>
      </c>
      <c r="D8" s="666">
        <v>0</v>
      </c>
      <c r="E8" s="666">
        <v>0</v>
      </c>
      <c r="F8" s="666">
        <v>0</v>
      </c>
      <c r="G8" s="666">
        <v>0</v>
      </c>
      <c r="H8" s="666">
        <v>0</v>
      </c>
      <c r="I8" s="666">
        <v>0</v>
      </c>
      <c r="J8" s="666">
        <v>0</v>
      </c>
      <c r="K8" s="666">
        <v>0</v>
      </c>
      <c r="L8" s="666">
        <v>0</v>
      </c>
      <c r="M8" s="666">
        <v>0</v>
      </c>
      <c r="N8" s="666">
        <v>0</v>
      </c>
      <c r="O8" s="666">
        <v>0</v>
      </c>
      <c r="P8" s="666">
        <v>0</v>
      </c>
      <c r="Q8" s="666">
        <v>0</v>
      </c>
      <c r="R8" s="666">
        <v>0</v>
      </c>
      <c r="S8" s="666">
        <v>0</v>
      </c>
      <c r="T8" s="666">
        <v>0</v>
      </c>
      <c r="U8" s="666">
        <v>0</v>
      </c>
      <c r="V8" s="666">
        <v>0</v>
      </c>
      <c r="W8" s="666">
        <v>0</v>
      </c>
      <c r="X8" s="341">
        <f>SUM(D8:W8)</f>
        <v>0</v>
      </c>
    </row>
    <row r="9" spans="1:25" ht="11.25" x14ac:dyDescent="0.2">
      <c r="A9" s="340" t="s">
        <v>270</v>
      </c>
      <c r="C9" s="343" t="s">
        <v>53</v>
      </c>
      <c r="D9" s="666">
        <v>0</v>
      </c>
      <c r="E9" s="666">
        <v>0</v>
      </c>
      <c r="F9" s="666">
        <v>0</v>
      </c>
      <c r="G9" s="666">
        <v>0</v>
      </c>
      <c r="H9" s="666">
        <v>0</v>
      </c>
      <c r="I9" s="666">
        <v>0</v>
      </c>
      <c r="J9" s="666">
        <v>0</v>
      </c>
      <c r="K9" s="666">
        <v>0</v>
      </c>
      <c r="L9" s="666">
        <v>0</v>
      </c>
      <c r="M9" s="666">
        <v>0</v>
      </c>
      <c r="N9" s="666">
        <v>0</v>
      </c>
      <c r="O9" s="666">
        <v>0</v>
      </c>
      <c r="P9" s="666">
        <v>0</v>
      </c>
      <c r="Q9" s="666">
        <v>0</v>
      </c>
      <c r="R9" s="666">
        <v>0</v>
      </c>
      <c r="S9" s="666">
        <v>0</v>
      </c>
      <c r="T9" s="666">
        <v>0</v>
      </c>
      <c r="U9" s="666">
        <v>0</v>
      </c>
      <c r="V9" s="666">
        <v>0</v>
      </c>
      <c r="W9" s="666">
        <v>0</v>
      </c>
      <c r="X9" s="341">
        <f>SUM(D9:W9)</f>
        <v>0</v>
      </c>
    </row>
    <row r="10" spans="1:25" ht="11.25" x14ac:dyDescent="0.2">
      <c r="A10" s="340">
        <v>3</v>
      </c>
      <c r="C10" s="329" t="s">
        <v>271</v>
      </c>
      <c r="D10" s="589">
        <v>0</v>
      </c>
      <c r="E10" s="589">
        <v>0</v>
      </c>
      <c r="F10" s="589">
        <v>0</v>
      </c>
      <c r="G10" s="589">
        <v>0</v>
      </c>
      <c r="H10" s="589">
        <v>0</v>
      </c>
      <c r="I10" s="589">
        <v>0</v>
      </c>
      <c r="J10" s="589">
        <v>0</v>
      </c>
      <c r="K10" s="589">
        <v>0</v>
      </c>
      <c r="L10" s="589">
        <v>0</v>
      </c>
      <c r="M10" s="589">
        <v>0</v>
      </c>
      <c r="N10" s="589">
        <v>0</v>
      </c>
      <c r="O10" s="589">
        <v>0</v>
      </c>
      <c r="P10" s="589">
        <v>0</v>
      </c>
      <c r="Q10" s="589">
        <v>0</v>
      </c>
      <c r="R10" s="589">
        <v>0</v>
      </c>
      <c r="S10" s="589">
        <v>0</v>
      </c>
      <c r="T10" s="589">
        <v>0</v>
      </c>
      <c r="U10" s="589">
        <v>0</v>
      </c>
      <c r="V10" s="589">
        <v>0</v>
      </c>
      <c r="W10" s="589">
        <v>0</v>
      </c>
      <c r="X10" s="341">
        <f>SUM(D10:W10)</f>
        <v>0</v>
      </c>
    </row>
    <row r="11" spans="1:25" ht="11.25" x14ac:dyDescent="0.2">
      <c r="A11" s="340" t="s">
        <v>272</v>
      </c>
      <c r="C11" s="329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1"/>
    </row>
    <row r="12" spans="1:25" ht="11.25" x14ac:dyDescent="0.2">
      <c r="A12" s="340">
        <v>4</v>
      </c>
      <c r="C12" s="346" t="s">
        <v>294</v>
      </c>
      <c r="D12" s="347">
        <f>SUM(D7:D10)</f>
        <v>0</v>
      </c>
      <c r="E12" s="347">
        <f>SUM(E7:E10)</f>
        <v>0</v>
      </c>
      <c r="F12" s="347">
        <f>SUM(F7:F10)</f>
        <v>0</v>
      </c>
      <c r="G12" s="347">
        <f>SUM(G7:G10)</f>
        <v>0</v>
      </c>
      <c r="H12" s="347">
        <f t="shared" ref="H12:W12" si="1">SUM(H7:H10)</f>
        <v>0</v>
      </c>
      <c r="I12" s="347">
        <f t="shared" si="1"/>
        <v>0</v>
      </c>
      <c r="J12" s="347">
        <f t="shared" si="1"/>
        <v>0</v>
      </c>
      <c r="K12" s="347">
        <f t="shared" si="1"/>
        <v>0</v>
      </c>
      <c r="L12" s="347">
        <f t="shared" si="1"/>
        <v>0</v>
      </c>
      <c r="M12" s="347">
        <f t="shared" si="1"/>
        <v>0</v>
      </c>
      <c r="N12" s="347">
        <f t="shared" si="1"/>
        <v>0</v>
      </c>
      <c r="O12" s="347">
        <f t="shared" si="1"/>
        <v>0</v>
      </c>
      <c r="P12" s="347">
        <f t="shared" si="1"/>
        <v>0</v>
      </c>
      <c r="Q12" s="347">
        <f t="shared" si="1"/>
        <v>0</v>
      </c>
      <c r="R12" s="347">
        <f t="shared" si="1"/>
        <v>0</v>
      </c>
      <c r="S12" s="347">
        <f t="shared" si="1"/>
        <v>0</v>
      </c>
      <c r="T12" s="347">
        <f t="shared" si="1"/>
        <v>0</v>
      </c>
      <c r="U12" s="347">
        <f t="shared" si="1"/>
        <v>0</v>
      </c>
      <c r="V12" s="347">
        <f t="shared" si="1"/>
        <v>0</v>
      </c>
      <c r="W12" s="347">
        <f t="shared" si="1"/>
        <v>0</v>
      </c>
      <c r="X12" s="341">
        <f>SUM(D12:W12)</f>
        <v>0</v>
      </c>
    </row>
    <row r="13" spans="1:25" ht="11.25" x14ac:dyDescent="0.2">
      <c r="A13" s="371" t="s">
        <v>1432</v>
      </c>
      <c r="B13" s="369"/>
      <c r="C13" s="348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</row>
    <row r="14" spans="1:25" ht="11.25" x14ac:dyDescent="0.2">
      <c r="A14" s="340">
        <v>5</v>
      </c>
      <c r="B14" s="588" t="s">
        <v>1577</v>
      </c>
      <c r="C14" s="312" t="s">
        <v>228</v>
      </c>
      <c r="D14" s="528">
        <f t="array" ref="D14">SUM(IF(CertFund&amp;CertProg&amp;CertObj&amp;CertGrant=RIGHT(LEFT($A$2,7),2)&amp;LEFT($A$13,4)&amp;$B$14&amp;D$3,CertSalary))</f>
        <v>0</v>
      </c>
      <c r="E14" s="528">
        <f t="array" ref="E14">SUM(IF(CertFund&amp;CertProg&amp;CertObj&amp;CertGrant=RIGHT(LEFT($A$2,7),2)&amp;LEFT($A$13,4)&amp;$B$14&amp;E$3,CertSalary))</f>
        <v>0</v>
      </c>
      <c r="F14" s="528">
        <f t="array" ref="F14">SUM(IF(CertFund&amp;CertProg&amp;CertObj&amp;CertGrant=RIGHT(LEFT($A$2,7),2)&amp;LEFT($A$13,4)&amp;$B$14&amp;F$3,CertSalary))</f>
        <v>0</v>
      </c>
      <c r="G14" s="528">
        <f t="array" ref="G14">SUM(IF(CertFund&amp;CertProg&amp;CertObj&amp;CertGrant=RIGHT(LEFT($A$2,7),2)&amp;LEFT($A$13,4)&amp;$B$14&amp;G$3,CertSalary))</f>
        <v>0</v>
      </c>
      <c r="H14" s="528">
        <f t="array" ref="H14">SUM(IF(CertFund&amp;CertProg&amp;CertObj&amp;CertGrant=RIGHT(LEFT($A$2,7),2)&amp;LEFT($A$13,4)&amp;$B$14&amp;H$3,CertSalary))</f>
        <v>0</v>
      </c>
      <c r="I14" s="528">
        <f t="array" ref="I14">SUM(IF(CertFund&amp;CertProg&amp;CertObj&amp;CertGrant=RIGHT(LEFT($A$2,7),2)&amp;LEFT($A$13,4)&amp;$B$14&amp;I$3,CertSalary))</f>
        <v>0</v>
      </c>
      <c r="J14" s="528">
        <f t="array" ref="J14">SUM(IF(CertFund&amp;CertProg&amp;CertObj&amp;CertGrant=RIGHT(LEFT($A$2,7),2)&amp;LEFT($A$13,4)&amp;$B$14&amp;J$3,CertSalary))</f>
        <v>0</v>
      </c>
      <c r="K14" s="528">
        <f t="array" ref="K14">SUM(IF(CertFund&amp;CertProg&amp;CertObj&amp;CertGrant=RIGHT(LEFT($A$2,7),2)&amp;LEFT($A$13,4)&amp;$B$14&amp;K$3,CertSalary))</f>
        <v>0</v>
      </c>
      <c r="L14" s="528">
        <f t="array" ref="L14">SUM(IF(CertFund&amp;CertProg&amp;CertObj&amp;CertGrant=RIGHT(LEFT($A$2,7),2)&amp;LEFT($A$13,4)&amp;$B$14&amp;L$3,CertSalary))</f>
        <v>0</v>
      </c>
      <c r="M14" s="528">
        <f t="array" ref="M14">SUM(IF(CertFund&amp;CertProg&amp;CertObj&amp;CertGrant=RIGHT(LEFT($A$2,7),2)&amp;LEFT($A$13,4)&amp;$B$14&amp;M$3,CertSalary))</f>
        <v>0</v>
      </c>
      <c r="N14" s="528">
        <f t="array" ref="N14">SUM(IF(CertFund&amp;CertProg&amp;CertObj&amp;CertGrant=RIGHT(LEFT($A$2,7),2)&amp;LEFT($A$13,4)&amp;$B$14&amp;N$3,CertSalary))</f>
        <v>0</v>
      </c>
      <c r="O14" s="528">
        <f t="array" ref="O14">SUM(IF(CertFund&amp;CertProg&amp;CertObj&amp;CertGrant=RIGHT(LEFT($A$2,7),2)&amp;LEFT($A$13,4)&amp;$B$14&amp;O$3,CertSalary))</f>
        <v>0</v>
      </c>
      <c r="P14" s="528">
        <f t="array" ref="P14">SUM(IF(CertFund&amp;CertProg&amp;CertObj&amp;CertGrant=RIGHT(LEFT($A$2,7),2)&amp;LEFT($A$13,4)&amp;$B$14&amp;P$3,CertSalary))</f>
        <v>0</v>
      </c>
      <c r="Q14" s="528">
        <f t="array" ref="Q14">SUM(IF(CertFund&amp;CertProg&amp;CertObj&amp;CertGrant=RIGHT(LEFT($A$2,7),2)&amp;LEFT($A$13,4)&amp;$B$14&amp;Q$3,CertSalary))</f>
        <v>0</v>
      </c>
      <c r="R14" s="528">
        <f t="array" ref="R14">SUM(IF(CertFund&amp;CertProg&amp;CertObj&amp;CertGrant=RIGHT(LEFT($A$2,7),2)&amp;LEFT($A$13,4)&amp;$B$14&amp;R$3,CertSalary))</f>
        <v>0</v>
      </c>
      <c r="S14" s="528">
        <f t="array" ref="S14">SUM(IF(CertFund&amp;CertProg&amp;CertObj&amp;CertGrant=RIGHT(LEFT($A$2,7),2)&amp;LEFT($A$13,4)&amp;$B$14&amp;S$3,CertSalary))</f>
        <v>0</v>
      </c>
      <c r="T14" s="528">
        <f t="array" ref="T14">SUM(IF(CertFund&amp;CertProg&amp;CertObj&amp;CertGrant=RIGHT(LEFT($A$2,7),2)&amp;LEFT($A$13,4)&amp;$B$14&amp;T$3,CertSalary))</f>
        <v>0</v>
      </c>
      <c r="U14" s="528">
        <f t="array" ref="U14">SUM(IF(CertFund&amp;CertProg&amp;CertObj&amp;CertGrant=RIGHT(LEFT($A$2,7),2)&amp;LEFT($A$13,4)&amp;$B$14&amp;U$3,CertSalary))</f>
        <v>0</v>
      </c>
      <c r="V14" s="528">
        <f t="array" ref="V14">SUM(IF(CertFund&amp;CertProg&amp;CertObj&amp;CertGrant=RIGHT(LEFT($A$2,7),2)&amp;LEFT($A$13,4)&amp;$B$14&amp;V$3,CertSalary))</f>
        <v>0</v>
      </c>
      <c r="W14" s="528">
        <f t="array" ref="W14">SUM(IF(CertFund&amp;CertProg&amp;CertObj&amp;CertGrant=RIGHT(LEFT($A$2,7),2)&amp;LEFT($A$13,4)&amp;$B$14&amp;W$3,CertSalary))</f>
        <v>0</v>
      </c>
      <c r="X14" s="347">
        <f t="shared" ref="X14:X22" si="2">SUM(D14:W14)</f>
        <v>0</v>
      </c>
    </row>
    <row r="15" spans="1:25" ht="11.25" x14ac:dyDescent="0.2">
      <c r="A15" s="340" t="s">
        <v>1437</v>
      </c>
      <c r="B15" s="588" t="s">
        <v>1577</v>
      </c>
      <c r="C15" s="312" t="s">
        <v>510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341">
        <f t="shared" si="2"/>
        <v>0</v>
      </c>
    </row>
    <row r="16" spans="1:25" ht="11.25" x14ac:dyDescent="0.2">
      <c r="A16" s="340">
        <v>6</v>
      </c>
      <c r="B16" s="588" t="s">
        <v>1578</v>
      </c>
      <c r="C16" s="312" t="s">
        <v>76</v>
      </c>
      <c r="D16" s="528">
        <f t="array" ref="D16">SUM(IF(CertFund&amp;CertProg&amp;CertObj&amp;CertGrant=RIGHT(LEFT($A$2,7),2)&amp;LEFT($A$13,4)&amp;$B$14&amp;D$3,CertBen))</f>
        <v>0</v>
      </c>
      <c r="E16" s="528">
        <f t="array" ref="E16">SUM(IF(CertFund&amp;CertProg&amp;CertObj&amp;CertGrant=RIGHT(LEFT($A$2,7),2)&amp;LEFT($A$13,4)&amp;$B$14&amp;E$3,CertBen))</f>
        <v>0</v>
      </c>
      <c r="F16" s="528">
        <f t="array" ref="F16">SUM(IF(CertFund&amp;CertProg&amp;CertObj&amp;CertGrant=RIGHT(LEFT($A$2,7),2)&amp;LEFT($A$13,4)&amp;$B$14&amp;F$3,CertBen))</f>
        <v>0</v>
      </c>
      <c r="G16" s="528">
        <f t="array" ref="G16">SUM(IF(CertFund&amp;CertProg&amp;CertObj&amp;CertGrant=RIGHT(LEFT($A$2,7),2)&amp;LEFT($A$13,4)&amp;$B$14&amp;G$3,CertBen))</f>
        <v>0</v>
      </c>
      <c r="H16" s="528">
        <f t="array" ref="H16">SUM(IF(CertFund&amp;CertProg&amp;CertObj&amp;CertGrant=RIGHT(LEFT($A$2,7),2)&amp;LEFT($A$13,4)&amp;$B$14&amp;H$3,CertBen))</f>
        <v>0</v>
      </c>
      <c r="I16" s="528">
        <f t="array" ref="I16">SUM(IF(CertFund&amp;CertProg&amp;CertObj&amp;CertGrant=RIGHT(LEFT($A$2,7),2)&amp;LEFT($A$13,4)&amp;$B$14&amp;I$3,CertBen))</f>
        <v>0</v>
      </c>
      <c r="J16" s="528">
        <f t="array" ref="J16">SUM(IF(CertFund&amp;CertProg&amp;CertObj&amp;CertGrant=RIGHT(LEFT($A$2,7),2)&amp;LEFT($A$13,4)&amp;$B$14&amp;J$3,CertBen))</f>
        <v>0</v>
      </c>
      <c r="K16" s="528">
        <f t="array" ref="K16">SUM(IF(CertFund&amp;CertProg&amp;CertObj&amp;CertGrant=RIGHT(LEFT($A$2,7),2)&amp;LEFT($A$13,4)&amp;$B$14&amp;K$3,CertBen))</f>
        <v>0</v>
      </c>
      <c r="L16" s="528">
        <f t="array" ref="L16">SUM(IF(CertFund&amp;CertProg&amp;CertObj&amp;CertGrant=RIGHT(LEFT($A$2,7),2)&amp;LEFT($A$13,4)&amp;$B$14&amp;L$3,CertBen))</f>
        <v>0</v>
      </c>
      <c r="M16" s="528">
        <f t="array" ref="M16">SUM(IF(CertFund&amp;CertProg&amp;CertObj&amp;CertGrant=RIGHT(LEFT($A$2,7),2)&amp;LEFT($A$13,4)&amp;$B$14&amp;M$3,CertBen))</f>
        <v>0</v>
      </c>
      <c r="N16" s="528">
        <f t="array" ref="N16">SUM(IF(CertFund&amp;CertProg&amp;CertObj&amp;CertGrant=RIGHT(LEFT($A$2,7),2)&amp;LEFT($A$13,4)&amp;$B$14&amp;N$3,CertBen))</f>
        <v>0</v>
      </c>
      <c r="O16" s="528">
        <f t="array" ref="O16">SUM(IF(CertFund&amp;CertProg&amp;CertObj&amp;CertGrant=RIGHT(LEFT($A$2,7),2)&amp;LEFT($A$13,4)&amp;$B$14&amp;O$3,CertBen))</f>
        <v>0</v>
      </c>
      <c r="P16" s="528">
        <f t="array" ref="P16">SUM(IF(CertFund&amp;CertProg&amp;CertObj&amp;CertGrant=RIGHT(LEFT($A$2,7),2)&amp;LEFT($A$13,4)&amp;$B$14&amp;P$3,CertBen))</f>
        <v>0</v>
      </c>
      <c r="Q16" s="528">
        <f t="array" ref="Q16">SUM(IF(CertFund&amp;CertProg&amp;CertObj&amp;CertGrant=RIGHT(LEFT($A$2,7),2)&amp;LEFT($A$13,4)&amp;$B$14&amp;Q$3,CertBen))</f>
        <v>0</v>
      </c>
      <c r="R16" s="528">
        <f t="array" ref="R16">SUM(IF(CertFund&amp;CertProg&amp;CertObj&amp;CertGrant=RIGHT(LEFT($A$2,7),2)&amp;LEFT($A$13,4)&amp;$B$14&amp;R$3,CertBen))</f>
        <v>0</v>
      </c>
      <c r="S16" s="528">
        <f t="array" ref="S16">SUM(IF(CertFund&amp;CertProg&amp;CertObj&amp;CertGrant=RIGHT(LEFT($A$2,7),2)&amp;LEFT($A$13,4)&amp;$B$14&amp;S$3,CertBen))</f>
        <v>0</v>
      </c>
      <c r="T16" s="528">
        <f t="array" ref="T16">SUM(IF(CertFund&amp;CertProg&amp;CertObj&amp;CertGrant=RIGHT(LEFT($A$2,7),2)&amp;LEFT($A$13,4)&amp;$B$14&amp;T$3,CertBen))</f>
        <v>0</v>
      </c>
      <c r="U16" s="528">
        <f t="array" ref="U16">SUM(IF(CertFund&amp;CertProg&amp;CertObj&amp;CertGrant=RIGHT(LEFT($A$2,7),2)&amp;LEFT($A$13,4)&amp;$B$14&amp;U$3,CertBen))</f>
        <v>0</v>
      </c>
      <c r="V16" s="528">
        <f t="array" ref="V16">SUM(IF(CertFund&amp;CertProg&amp;CertObj&amp;CertGrant=RIGHT(LEFT($A$2,7),2)&amp;LEFT($A$13,4)&amp;$B$14&amp;V$3,CertBen))</f>
        <v>0</v>
      </c>
      <c r="W16" s="528">
        <f t="array" ref="W16">SUM(IF(CertFund&amp;CertProg&amp;CertObj&amp;CertGrant=RIGHT(LEFT($A$2,7),2)&amp;LEFT($A$13,4)&amp;$B$14&amp;W$3,CertBen))</f>
        <v>0</v>
      </c>
      <c r="X16" s="341">
        <f t="shared" si="2"/>
        <v>0</v>
      </c>
    </row>
    <row r="17" spans="1:24" ht="11.25" x14ac:dyDescent="0.2">
      <c r="A17" s="340" t="s">
        <v>1438</v>
      </c>
      <c r="B17" s="588" t="s">
        <v>1578</v>
      </c>
      <c r="C17" s="312" t="s">
        <v>511</v>
      </c>
      <c r="D17" s="590">
        <v>0</v>
      </c>
      <c r="E17" s="590">
        <v>0</v>
      </c>
      <c r="F17" s="590">
        <v>0</v>
      </c>
      <c r="G17" s="590">
        <v>0</v>
      </c>
      <c r="H17" s="590">
        <v>0</v>
      </c>
      <c r="I17" s="590">
        <v>0</v>
      </c>
      <c r="J17" s="590">
        <v>0</v>
      </c>
      <c r="K17" s="590">
        <v>0</v>
      </c>
      <c r="L17" s="590">
        <v>0</v>
      </c>
      <c r="M17" s="590">
        <v>0</v>
      </c>
      <c r="N17" s="590">
        <v>0</v>
      </c>
      <c r="O17" s="590">
        <v>0</v>
      </c>
      <c r="P17" s="590">
        <v>0</v>
      </c>
      <c r="Q17" s="590">
        <v>0</v>
      </c>
      <c r="R17" s="590">
        <v>0</v>
      </c>
      <c r="S17" s="590">
        <v>0</v>
      </c>
      <c r="T17" s="590">
        <v>0</v>
      </c>
      <c r="U17" s="590">
        <v>0</v>
      </c>
      <c r="V17" s="590">
        <v>0</v>
      </c>
      <c r="W17" s="590">
        <v>0</v>
      </c>
      <c r="X17" s="341">
        <f t="shared" si="2"/>
        <v>0</v>
      </c>
    </row>
    <row r="18" spans="1:24" ht="11.25" x14ac:dyDescent="0.2">
      <c r="A18" s="340">
        <v>7</v>
      </c>
      <c r="B18" s="188" t="s">
        <v>1579</v>
      </c>
      <c r="C18" s="329" t="s">
        <v>273</v>
      </c>
      <c r="D18" s="590">
        <v>0</v>
      </c>
      <c r="E18" s="590">
        <v>0</v>
      </c>
      <c r="F18" s="590">
        <v>0</v>
      </c>
      <c r="G18" s="590">
        <v>0</v>
      </c>
      <c r="H18" s="590">
        <v>0</v>
      </c>
      <c r="I18" s="590">
        <v>0</v>
      </c>
      <c r="J18" s="590">
        <v>0</v>
      </c>
      <c r="K18" s="590">
        <v>0</v>
      </c>
      <c r="L18" s="591">
        <v>0</v>
      </c>
      <c r="M18" s="591">
        <v>0</v>
      </c>
      <c r="N18" s="591">
        <v>0</v>
      </c>
      <c r="O18" s="591">
        <v>0</v>
      </c>
      <c r="P18" s="591">
        <v>0</v>
      </c>
      <c r="Q18" s="591">
        <v>0</v>
      </c>
      <c r="R18" s="591">
        <v>0</v>
      </c>
      <c r="S18" s="591">
        <v>0</v>
      </c>
      <c r="T18" s="591">
        <v>0</v>
      </c>
      <c r="U18" s="591">
        <v>0</v>
      </c>
      <c r="V18" s="591">
        <v>0</v>
      </c>
      <c r="W18" s="591">
        <v>0</v>
      </c>
      <c r="X18" s="341">
        <f t="shared" si="2"/>
        <v>0</v>
      </c>
    </row>
    <row r="19" spans="1:24" ht="11.25" x14ac:dyDescent="0.2">
      <c r="A19" s="340">
        <v>8</v>
      </c>
      <c r="B19" s="188" t="s">
        <v>1581</v>
      </c>
      <c r="C19" s="329" t="s">
        <v>274</v>
      </c>
      <c r="D19" s="590">
        <v>0</v>
      </c>
      <c r="E19" s="590">
        <v>0</v>
      </c>
      <c r="F19" s="590">
        <v>0</v>
      </c>
      <c r="G19" s="590">
        <v>0</v>
      </c>
      <c r="H19" s="590">
        <v>0</v>
      </c>
      <c r="I19" s="590">
        <v>0</v>
      </c>
      <c r="J19" s="590">
        <v>0</v>
      </c>
      <c r="K19" s="590">
        <v>0</v>
      </c>
      <c r="L19" s="591">
        <v>0</v>
      </c>
      <c r="M19" s="591">
        <v>0</v>
      </c>
      <c r="N19" s="591">
        <v>0</v>
      </c>
      <c r="O19" s="591">
        <v>0</v>
      </c>
      <c r="P19" s="591">
        <v>0</v>
      </c>
      <c r="Q19" s="591">
        <v>0</v>
      </c>
      <c r="R19" s="591">
        <v>0</v>
      </c>
      <c r="S19" s="591">
        <v>0</v>
      </c>
      <c r="T19" s="591">
        <v>0</v>
      </c>
      <c r="U19" s="591">
        <v>0</v>
      </c>
      <c r="V19" s="591">
        <v>0</v>
      </c>
      <c r="W19" s="591">
        <v>0</v>
      </c>
      <c r="X19" s="341">
        <f t="shared" si="2"/>
        <v>0</v>
      </c>
    </row>
    <row r="20" spans="1:24" ht="11.25" x14ac:dyDescent="0.2">
      <c r="A20" s="340">
        <v>9</v>
      </c>
      <c r="B20" s="188" t="s">
        <v>1582</v>
      </c>
      <c r="C20" s="329" t="s">
        <v>275</v>
      </c>
      <c r="D20" s="590">
        <v>0</v>
      </c>
      <c r="E20" s="590">
        <v>0</v>
      </c>
      <c r="F20" s="590">
        <v>0</v>
      </c>
      <c r="G20" s="590">
        <v>0</v>
      </c>
      <c r="H20" s="590">
        <v>0</v>
      </c>
      <c r="I20" s="590">
        <v>0</v>
      </c>
      <c r="J20" s="590">
        <v>0</v>
      </c>
      <c r="K20" s="590">
        <v>0</v>
      </c>
      <c r="L20" s="591">
        <v>0</v>
      </c>
      <c r="M20" s="591">
        <v>0</v>
      </c>
      <c r="N20" s="591">
        <v>0</v>
      </c>
      <c r="O20" s="591">
        <v>0</v>
      </c>
      <c r="P20" s="591">
        <v>0</v>
      </c>
      <c r="Q20" s="591">
        <v>0</v>
      </c>
      <c r="R20" s="591">
        <v>0</v>
      </c>
      <c r="S20" s="591">
        <v>0</v>
      </c>
      <c r="T20" s="591">
        <v>0</v>
      </c>
      <c r="U20" s="591">
        <v>0</v>
      </c>
      <c r="V20" s="591">
        <v>0</v>
      </c>
      <c r="W20" s="591">
        <v>0</v>
      </c>
      <c r="X20" s="341">
        <f t="shared" si="2"/>
        <v>0</v>
      </c>
    </row>
    <row r="21" spans="1:24" ht="11.25" x14ac:dyDescent="0.2">
      <c r="A21" s="350">
        <v>10</v>
      </c>
      <c r="B21" s="188" t="s">
        <v>1584</v>
      </c>
      <c r="C21" s="327" t="s">
        <v>276</v>
      </c>
      <c r="D21" s="590">
        <v>0</v>
      </c>
      <c r="E21" s="590">
        <v>0</v>
      </c>
      <c r="F21" s="590">
        <v>0</v>
      </c>
      <c r="G21" s="590">
        <v>0</v>
      </c>
      <c r="H21" s="590">
        <v>0</v>
      </c>
      <c r="I21" s="590">
        <v>0</v>
      </c>
      <c r="J21" s="590">
        <v>0</v>
      </c>
      <c r="K21" s="590">
        <v>0</v>
      </c>
      <c r="L21" s="591">
        <v>0</v>
      </c>
      <c r="M21" s="591">
        <v>0</v>
      </c>
      <c r="N21" s="591">
        <v>0</v>
      </c>
      <c r="O21" s="591">
        <v>0</v>
      </c>
      <c r="P21" s="591">
        <v>0</v>
      </c>
      <c r="Q21" s="591">
        <v>0</v>
      </c>
      <c r="R21" s="591">
        <v>0</v>
      </c>
      <c r="S21" s="591">
        <v>0</v>
      </c>
      <c r="T21" s="591">
        <v>0</v>
      </c>
      <c r="U21" s="591">
        <v>0</v>
      </c>
      <c r="V21" s="591">
        <v>0</v>
      </c>
      <c r="W21" s="591">
        <v>0</v>
      </c>
      <c r="X21" s="341">
        <f t="shared" si="2"/>
        <v>0</v>
      </c>
    </row>
    <row r="22" spans="1:24" ht="11.25" x14ac:dyDescent="0.2">
      <c r="A22" s="340">
        <v>11</v>
      </c>
      <c r="C22" s="346" t="s">
        <v>1626</v>
      </c>
      <c r="D22" s="347">
        <f>SUM(D14:D21)</f>
        <v>0</v>
      </c>
      <c r="E22" s="347">
        <f t="shared" ref="E22:W22" si="3">SUM(E14:E21)</f>
        <v>0</v>
      </c>
      <c r="F22" s="347">
        <f t="shared" si="3"/>
        <v>0</v>
      </c>
      <c r="G22" s="347">
        <f t="shared" si="3"/>
        <v>0</v>
      </c>
      <c r="H22" s="347">
        <f t="shared" si="3"/>
        <v>0</v>
      </c>
      <c r="I22" s="347">
        <f t="shared" si="3"/>
        <v>0</v>
      </c>
      <c r="J22" s="347">
        <f t="shared" si="3"/>
        <v>0</v>
      </c>
      <c r="K22" s="347">
        <f t="shared" si="3"/>
        <v>0</v>
      </c>
      <c r="L22" s="347">
        <f t="shared" si="3"/>
        <v>0</v>
      </c>
      <c r="M22" s="347">
        <f t="shared" si="3"/>
        <v>0</v>
      </c>
      <c r="N22" s="347">
        <f t="shared" si="3"/>
        <v>0</v>
      </c>
      <c r="O22" s="347">
        <f t="shared" si="3"/>
        <v>0</v>
      </c>
      <c r="P22" s="347">
        <f t="shared" si="3"/>
        <v>0</v>
      </c>
      <c r="Q22" s="347">
        <f t="shared" si="3"/>
        <v>0</v>
      </c>
      <c r="R22" s="347">
        <f t="shared" si="3"/>
        <v>0</v>
      </c>
      <c r="S22" s="347">
        <f t="shared" si="3"/>
        <v>0</v>
      </c>
      <c r="T22" s="347">
        <f t="shared" si="3"/>
        <v>0</v>
      </c>
      <c r="U22" s="347">
        <f t="shared" si="3"/>
        <v>0</v>
      </c>
      <c r="V22" s="347">
        <f t="shared" si="3"/>
        <v>0</v>
      </c>
      <c r="W22" s="347">
        <f t="shared" si="3"/>
        <v>0</v>
      </c>
      <c r="X22" s="341">
        <f t="shared" si="2"/>
        <v>0</v>
      </c>
    </row>
    <row r="23" spans="1:24" ht="11.25" x14ac:dyDescent="0.2">
      <c r="A23" s="371" t="s">
        <v>1433</v>
      </c>
      <c r="B23" s="369"/>
      <c r="C23" s="348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</row>
    <row r="24" spans="1:24" ht="11.25" x14ac:dyDescent="0.2">
      <c r="A24" s="340">
        <v>5</v>
      </c>
      <c r="B24" s="588" t="s">
        <v>1577</v>
      </c>
      <c r="C24" s="312" t="s">
        <v>228</v>
      </c>
      <c r="D24" s="528">
        <f t="array" ref="D24">SUM(IF(CertFund&amp;CertProg&amp;CertObj&amp;CertGrant=RIGHT(LEFT($A$2,7),2)&amp;LEFT($A$23,4)&amp;$B$24&amp;D$3,CertSalary))</f>
        <v>0</v>
      </c>
      <c r="E24" s="528">
        <f t="array" ref="E24">SUM(IF(CertFund&amp;CertProg&amp;CertObj&amp;CertGrant=RIGHT(LEFT($A$2,7),2)&amp;LEFT($A$23,4)&amp;$B$24&amp;E$3,CertSalary))</f>
        <v>0</v>
      </c>
      <c r="F24" s="528">
        <f t="array" ref="F24">SUM(IF(CertFund&amp;CertProg&amp;CertObj&amp;CertGrant=RIGHT(LEFT($A$2,7),2)&amp;LEFT($A$23,4)&amp;$B$24&amp;F$3,CertSalary))</f>
        <v>0</v>
      </c>
      <c r="G24" s="528">
        <f t="array" ref="G24">SUM(IF(CertFund&amp;CertProg&amp;CertObj&amp;CertGrant=RIGHT(LEFT($A$2,7),2)&amp;LEFT($A$23,4)&amp;$B$24&amp;G$3,CertSalary))</f>
        <v>0</v>
      </c>
      <c r="H24" s="528">
        <f t="array" ref="H24">SUM(IF(CertFund&amp;CertProg&amp;CertObj&amp;CertGrant=RIGHT(LEFT($A$2,7),2)&amp;LEFT($A$23,4)&amp;$B$24&amp;H$3,CertSalary))</f>
        <v>0</v>
      </c>
      <c r="I24" s="528">
        <f t="array" ref="I24">SUM(IF(CertFund&amp;CertProg&amp;CertObj&amp;CertGrant=RIGHT(LEFT($A$2,7),2)&amp;LEFT($A$23,4)&amp;$B$24&amp;I$3,CertSalary))</f>
        <v>0</v>
      </c>
      <c r="J24" s="528">
        <f t="array" ref="J24">SUM(IF(CertFund&amp;CertProg&amp;CertObj&amp;CertGrant=RIGHT(LEFT($A$2,7),2)&amp;LEFT($A$23,4)&amp;$B$24&amp;J$3,CertSalary))</f>
        <v>0</v>
      </c>
      <c r="K24" s="528">
        <f t="array" ref="K24">SUM(IF(CertFund&amp;CertProg&amp;CertObj&amp;CertGrant=RIGHT(LEFT($A$2,7),2)&amp;LEFT($A$23,4)&amp;$B$24&amp;K$3,CertSalary))</f>
        <v>0</v>
      </c>
      <c r="L24" s="528">
        <f t="array" ref="L24">SUM(IF(CertFund&amp;CertProg&amp;CertObj&amp;CertGrant=RIGHT(LEFT($A$2,7),2)&amp;LEFT($A$23,4)&amp;$B$24&amp;L$3,CertSalary))</f>
        <v>0</v>
      </c>
      <c r="M24" s="528">
        <f t="array" ref="M24">SUM(IF(CertFund&amp;CertProg&amp;CertObj&amp;CertGrant=RIGHT(LEFT($A$2,7),2)&amp;LEFT($A$23,4)&amp;$B$24&amp;M$3,CertSalary))</f>
        <v>0</v>
      </c>
      <c r="N24" s="528">
        <f t="array" ref="N24">SUM(IF(CertFund&amp;CertProg&amp;CertObj&amp;CertGrant=RIGHT(LEFT($A$2,7),2)&amp;LEFT($A$23,4)&amp;$B$24&amp;N$3,CertSalary))</f>
        <v>0</v>
      </c>
      <c r="O24" s="528">
        <f t="array" ref="O24">SUM(IF(CertFund&amp;CertProg&amp;CertObj&amp;CertGrant=RIGHT(LEFT($A$2,7),2)&amp;LEFT($A$23,4)&amp;$B$24&amp;O$3,CertSalary))</f>
        <v>0</v>
      </c>
      <c r="P24" s="528">
        <f t="array" ref="P24">SUM(IF(CertFund&amp;CertProg&amp;CertObj&amp;CertGrant=RIGHT(LEFT($A$2,7),2)&amp;LEFT($A$23,4)&amp;$B$24&amp;P$3,CertSalary))</f>
        <v>0</v>
      </c>
      <c r="Q24" s="528">
        <f t="array" ref="Q24">SUM(IF(CertFund&amp;CertProg&amp;CertObj&amp;CertGrant=RIGHT(LEFT($A$2,7),2)&amp;LEFT($A$23,4)&amp;$B$24&amp;Q$3,CertSalary))</f>
        <v>0</v>
      </c>
      <c r="R24" s="528">
        <f t="array" ref="R24">SUM(IF(CertFund&amp;CertProg&amp;CertObj&amp;CertGrant=RIGHT(LEFT($A$2,7),2)&amp;LEFT($A$23,4)&amp;$B$24&amp;R$3,CertSalary))</f>
        <v>0</v>
      </c>
      <c r="S24" s="528">
        <f t="array" ref="S24">SUM(IF(CertFund&amp;CertProg&amp;CertObj&amp;CertGrant=RIGHT(LEFT($A$2,7),2)&amp;LEFT($A$23,4)&amp;$B$24&amp;S$3,CertSalary))</f>
        <v>0</v>
      </c>
      <c r="T24" s="528">
        <f t="array" ref="T24">SUM(IF(CertFund&amp;CertProg&amp;CertObj&amp;CertGrant=RIGHT(LEFT($A$2,7),2)&amp;LEFT($A$23,4)&amp;$B$24&amp;T$3,CertSalary))</f>
        <v>0</v>
      </c>
      <c r="U24" s="528">
        <f t="array" ref="U24">SUM(IF(CertFund&amp;CertProg&amp;CertObj&amp;CertGrant=RIGHT(LEFT($A$2,7),2)&amp;LEFT($A$23,4)&amp;$B$24&amp;U$3,CertSalary))</f>
        <v>0</v>
      </c>
      <c r="V24" s="528">
        <f t="array" ref="V24">SUM(IF(CertFund&amp;CertProg&amp;CertObj&amp;CertGrant=RIGHT(LEFT($A$2,7),2)&amp;LEFT($A$23,4)&amp;$B$24&amp;V$3,CertSalary))</f>
        <v>0</v>
      </c>
      <c r="W24" s="528">
        <f t="array" ref="W24">SUM(IF(CertFund&amp;CertProg&amp;CertObj&amp;CertGrant=RIGHT(LEFT($A$2,7),2)&amp;LEFT($A$23,4)&amp;$B$24&amp;W$3,CertSalary))</f>
        <v>0</v>
      </c>
      <c r="X24" s="347">
        <f t="shared" ref="X24:X32" si="4">SUM(D24:W24)</f>
        <v>0</v>
      </c>
    </row>
    <row r="25" spans="1:24" ht="11.25" x14ac:dyDescent="0.2">
      <c r="A25" s="340" t="s">
        <v>1437</v>
      </c>
      <c r="B25" s="588" t="s">
        <v>1577</v>
      </c>
      <c r="C25" s="312" t="s">
        <v>510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341">
        <f t="shared" si="4"/>
        <v>0</v>
      </c>
    </row>
    <row r="26" spans="1:24" ht="11.25" x14ac:dyDescent="0.2">
      <c r="A26" s="340">
        <v>6</v>
      </c>
      <c r="B26" s="588" t="s">
        <v>1578</v>
      </c>
      <c r="C26" s="312" t="s">
        <v>76</v>
      </c>
      <c r="D26" s="528">
        <f t="array" ref="D26">SUM(IF(CertFund&amp;CertProg&amp;CertObj&amp;CertGrant=RIGHT(LEFT($A$2,7),2)&amp;LEFT($A$23,4)&amp;$B$24&amp;D$3,CertBen))</f>
        <v>0</v>
      </c>
      <c r="E26" s="528">
        <f t="array" ref="E26">SUM(IF(CertFund&amp;CertProg&amp;CertObj&amp;CertGrant=RIGHT(LEFT($A$2,7),2)&amp;LEFT($A$23,4)&amp;$B$24&amp;E$3,CertBen))</f>
        <v>0</v>
      </c>
      <c r="F26" s="528">
        <f t="array" ref="F26">SUM(IF(CertFund&amp;CertProg&amp;CertObj&amp;CertGrant=RIGHT(LEFT($A$2,7),2)&amp;LEFT($A$23,4)&amp;$B$24&amp;F$3,CertBen))</f>
        <v>0</v>
      </c>
      <c r="G26" s="528">
        <f t="array" ref="G26">SUM(IF(CertFund&amp;CertProg&amp;CertObj&amp;CertGrant=RIGHT(LEFT($A$2,7),2)&amp;LEFT($A$23,4)&amp;$B$24&amp;G$3,CertBen))</f>
        <v>0</v>
      </c>
      <c r="H26" s="528">
        <f t="array" ref="H26">SUM(IF(CertFund&amp;CertProg&amp;CertObj&amp;CertGrant=RIGHT(LEFT($A$2,7),2)&amp;LEFT($A$23,4)&amp;$B$24&amp;H$3,CertBen))</f>
        <v>0</v>
      </c>
      <c r="I26" s="528">
        <f t="array" ref="I26">SUM(IF(CertFund&amp;CertProg&amp;CertObj&amp;CertGrant=RIGHT(LEFT($A$2,7),2)&amp;LEFT($A$23,4)&amp;$B$24&amp;I$3,CertBen))</f>
        <v>0</v>
      </c>
      <c r="J26" s="528">
        <f t="array" ref="J26">SUM(IF(CertFund&amp;CertProg&amp;CertObj&amp;CertGrant=RIGHT(LEFT($A$2,7),2)&amp;LEFT($A$23,4)&amp;$B$24&amp;J$3,CertBen))</f>
        <v>0</v>
      </c>
      <c r="K26" s="528">
        <f t="array" ref="K26">SUM(IF(CertFund&amp;CertProg&amp;CertObj&amp;CertGrant=RIGHT(LEFT($A$2,7),2)&amp;LEFT($A$23,4)&amp;$B$24&amp;K$3,CertBen))</f>
        <v>0</v>
      </c>
      <c r="L26" s="528">
        <f t="array" ref="L26">SUM(IF(CertFund&amp;CertProg&amp;CertObj&amp;CertGrant=RIGHT(LEFT($A$2,7),2)&amp;LEFT($A$23,4)&amp;$B$24&amp;L$3,CertBen))</f>
        <v>0</v>
      </c>
      <c r="M26" s="528">
        <f t="array" ref="M26">SUM(IF(CertFund&amp;CertProg&amp;CertObj&amp;CertGrant=RIGHT(LEFT($A$2,7),2)&amp;LEFT($A$23,4)&amp;$B$24&amp;M$3,CertBen))</f>
        <v>0</v>
      </c>
      <c r="N26" s="528">
        <f t="array" ref="N26">SUM(IF(CertFund&amp;CertProg&amp;CertObj&amp;CertGrant=RIGHT(LEFT($A$2,7),2)&amp;LEFT($A$23,4)&amp;$B$24&amp;N$3,CertBen))</f>
        <v>0</v>
      </c>
      <c r="O26" s="528">
        <f t="array" ref="O26">SUM(IF(CertFund&amp;CertProg&amp;CertObj&amp;CertGrant=RIGHT(LEFT($A$2,7),2)&amp;LEFT($A$23,4)&amp;$B$24&amp;O$3,CertBen))</f>
        <v>0</v>
      </c>
      <c r="P26" s="528">
        <f t="array" ref="P26">SUM(IF(CertFund&amp;CertProg&amp;CertObj&amp;CertGrant=RIGHT(LEFT($A$2,7),2)&amp;LEFT($A$23,4)&amp;$B$24&amp;P$3,CertBen))</f>
        <v>0</v>
      </c>
      <c r="Q26" s="528">
        <f t="array" ref="Q26">SUM(IF(CertFund&amp;CertProg&amp;CertObj&amp;CertGrant=RIGHT(LEFT($A$2,7),2)&amp;LEFT($A$23,4)&amp;$B$24&amp;Q$3,CertBen))</f>
        <v>0</v>
      </c>
      <c r="R26" s="528">
        <f t="array" ref="R26">SUM(IF(CertFund&amp;CertProg&amp;CertObj&amp;CertGrant=RIGHT(LEFT($A$2,7),2)&amp;LEFT($A$23,4)&amp;$B$24&amp;R$3,CertBen))</f>
        <v>0</v>
      </c>
      <c r="S26" s="528">
        <f t="array" ref="S26">SUM(IF(CertFund&amp;CertProg&amp;CertObj&amp;CertGrant=RIGHT(LEFT($A$2,7),2)&amp;LEFT($A$23,4)&amp;$B$24&amp;S$3,CertBen))</f>
        <v>0</v>
      </c>
      <c r="T26" s="528">
        <f t="array" ref="T26">SUM(IF(CertFund&amp;CertProg&amp;CertObj&amp;CertGrant=RIGHT(LEFT($A$2,7),2)&amp;LEFT($A$23,4)&amp;$B$24&amp;T$3,CertBen))</f>
        <v>0</v>
      </c>
      <c r="U26" s="528">
        <f t="array" ref="U26">SUM(IF(CertFund&amp;CertProg&amp;CertObj&amp;CertGrant=RIGHT(LEFT($A$2,7),2)&amp;LEFT($A$23,4)&amp;$B$24&amp;U$3,CertBen))</f>
        <v>0</v>
      </c>
      <c r="V26" s="528">
        <f t="array" ref="V26">SUM(IF(CertFund&amp;CertProg&amp;CertObj&amp;CertGrant=RIGHT(LEFT($A$2,7),2)&amp;LEFT($A$23,4)&amp;$B$24&amp;V$3,CertBen))</f>
        <v>0</v>
      </c>
      <c r="W26" s="528">
        <f t="array" ref="W26">SUM(IF(CertFund&amp;CertProg&amp;CertObj&amp;CertGrant=RIGHT(LEFT($A$2,7),2)&amp;LEFT($A$23,4)&amp;$B$24&amp;W$3,CertBen))</f>
        <v>0</v>
      </c>
      <c r="X26" s="341">
        <f t="shared" si="4"/>
        <v>0</v>
      </c>
    </row>
    <row r="27" spans="1:24" ht="11.25" x14ac:dyDescent="0.2">
      <c r="A27" s="340" t="s">
        <v>1438</v>
      </c>
      <c r="B27" s="588" t="s">
        <v>1578</v>
      </c>
      <c r="C27" s="312" t="s">
        <v>511</v>
      </c>
      <c r="D27" s="590">
        <v>0</v>
      </c>
      <c r="E27" s="590">
        <v>0</v>
      </c>
      <c r="F27" s="590">
        <v>0</v>
      </c>
      <c r="G27" s="590">
        <v>0</v>
      </c>
      <c r="H27" s="590">
        <v>0</v>
      </c>
      <c r="I27" s="590">
        <v>0</v>
      </c>
      <c r="J27" s="590">
        <v>0</v>
      </c>
      <c r="K27" s="590">
        <v>0</v>
      </c>
      <c r="L27" s="590">
        <v>0</v>
      </c>
      <c r="M27" s="590">
        <v>0</v>
      </c>
      <c r="N27" s="590">
        <v>0</v>
      </c>
      <c r="O27" s="590">
        <v>0</v>
      </c>
      <c r="P27" s="590">
        <v>0</v>
      </c>
      <c r="Q27" s="590">
        <v>0</v>
      </c>
      <c r="R27" s="590">
        <v>0</v>
      </c>
      <c r="S27" s="590">
        <v>0</v>
      </c>
      <c r="T27" s="590">
        <v>0</v>
      </c>
      <c r="U27" s="590">
        <v>0</v>
      </c>
      <c r="V27" s="590">
        <v>0</v>
      </c>
      <c r="W27" s="590">
        <v>0</v>
      </c>
      <c r="X27" s="341">
        <f t="shared" si="4"/>
        <v>0</v>
      </c>
    </row>
    <row r="28" spans="1:24" ht="11.25" x14ac:dyDescent="0.2">
      <c r="A28" s="340">
        <v>7</v>
      </c>
      <c r="B28" s="188" t="s">
        <v>1579</v>
      </c>
      <c r="C28" s="329" t="s">
        <v>273</v>
      </c>
      <c r="D28" s="590">
        <v>0</v>
      </c>
      <c r="E28" s="590">
        <v>0</v>
      </c>
      <c r="F28" s="590">
        <v>0</v>
      </c>
      <c r="G28" s="590">
        <v>0</v>
      </c>
      <c r="H28" s="590">
        <v>0</v>
      </c>
      <c r="I28" s="590">
        <v>0</v>
      </c>
      <c r="J28" s="590">
        <v>0</v>
      </c>
      <c r="K28" s="590">
        <v>0</v>
      </c>
      <c r="L28" s="591">
        <v>0</v>
      </c>
      <c r="M28" s="591">
        <v>0</v>
      </c>
      <c r="N28" s="591">
        <v>0</v>
      </c>
      <c r="O28" s="591">
        <v>0</v>
      </c>
      <c r="P28" s="591">
        <v>0</v>
      </c>
      <c r="Q28" s="591">
        <v>0</v>
      </c>
      <c r="R28" s="591">
        <v>0</v>
      </c>
      <c r="S28" s="591">
        <v>0</v>
      </c>
      <c r="T28" s="591">
        <v>0</v>
      </c>
      <c r="U28" s="591">
        <v>0</v>
      </c>
      <c r="V28" s="591">
        <v>0</v>
      </c>
      <c r="W28" s="591">
        <v>0</v>
      </c>
      <c r="X28" s="341">
        <f t="shared" si="4"/>
        <v>0</v>
      </c>
    </row>
    <row r="29" spans="1:24" ht="11.25" x14ac:dyDescent="0.2">
      <c r="A29" s="340">
        <v>8</v>
      </c>
      <c r="B29" s="188" t="s">
        <v>1581</v>
      </c>
      <c r="C29" s="329" t="s">
        <v>274</v>
      </c>
      <c r="D29" s="590">
        <v>0</v>
      </c>
      <c r="E29" s="590">
        <v>0</v>
      </c>
      <c r="F29" s="590">
        <v>0</v>
      </c>
      <c r="G29" s="590">
        <v>0</v>
      </c>
      <c r="H29" s="590">
        <v>0</v>
      </c>
      <c r="I29" s="590">
        <v>0</v>
      </c>
      <c r="J29" s="590">
        <v>0</v>
      </c>
      <c r="K29" s="590">
        <v>0</v>
      </c>
      <c r="L29" s="591">
        <v>0</v>
      </c>
      <c r="M29" s="591">
        <v>0</v>
      </c>
      <c r="N29" s="591">
        <v>0</v>
      </c>
      <c r="O29" s="591">
        <v>0</v>
      </c>
      <c r="P29" s="591">
        <v>0</v>
      </c>
      <c r="Q29" s="591">
        <v>0</v>
      </c>
      <c r="R29" s="591">
        <v>0</v>
      </c>
      <c r="S29" s="591">
        <v>0</v>
      </c>
      <c r="T29" s="591">
        <v>0</v>
      </c>
      <c r="U29" s="591">
        <v>0</v>
      </c>
      <c r="V29" s="591">
        <v>0</v>
      </c>
      <c r="W29" s="591">
        <v>0</v>
      </c>
      <c r="X29" s="341">
        <f t="shared" si="4"/>
        <v>0</v>
      </c>
    </row>
    <row r="30" spans="1:24" ht="11.25" x14ac:dyDescent="0.2">
      <c r="A30" s="340">
        <v>9</v>
      </c>
      <c r="B30" s="188" t="s">
        <v>1582</v>
      </c>
      <c r="C30" s="329" t="s">
        <v>275</v>
      </c>
      <c r="D30" s="590">
        <v>0</v>
      </c>
      <c r="E30" s="590">
        <v>0</v>
      </c>
      <c r="F30" s="590">
        <v>0</v>
      </c>
      <c r="G30" s="590">
        <v>0</v>
      </c>
      <c r="H30" s="590">
        <v>0</v>
      </c>
      <c r="I30" s="590">
        <v>0</v>
      </c>
      <c r="J30" s="590">
        <v>0</v>
      </c>
      <c r="K30" s="590">
        <v>0</v>
      </c>
      <c r="L30" s="591">
        <v>0</v>
      </c>
      <c r="M30" s="591">
        <v>0</v>
      </c>
      <c r="N30" s="591">
        <v>0</v>
      </c>
      <c r="O30" s="591">
        <v>0</v>
      </c>
      <c r="P30" s="591">
        <v>0</v>
      </c>
      <c r="Q30" s="591">
        <v>0</v>
      </c>
      <c r="R30" s="591">
        <v>0</v>
      </c>
      <c r="S30" s="591">
        <v>0</v>
      </c>
      <c r="T30" s="591">
        <v>0</v>
      </c>
      <c r="U30" s="591">
        <v>0</v>
      </c>
      <c r="V30" s="591">
        <v>0</v>
      </c>
      <c r="W30" s="591">
        <v>0</v>
      </c>
      <c r="X30" s="341">
        <f t="shared" si="4"/>
        <v>0</v>
      </c>
    </row>
    <row r="31" spans="1:24" ht="11.25" x14ac:dyDescent="0.2">
      <c r="A31" s="350">
        <v>10</v>
      </c>
      <c r="B31" s="188" t="s">
        <v>1584</v>
      </c>
      <c r="C31" s="327" t="s">
        <v>276</v>
      </c>
      <c r="D31" s="590">
        <v>0</v>
      </c>
      <c r="E31" s="590">
        <v>0</v>
      </c>
      <c r="F31" s="590">
        <v>0</v>
      </c>
      <c r="G31" s="590">
        <v>0</v>
      </c>
      <c r="H31" s="590">
        <v>0</v>
      </c>
      <c r="I31" s="590">
        <v>0</v>
      </c>
      <c r="J31" s="590">
        <v>0</v>
      </c>
      <c r="K31" s="590">
        <v>0</v>
      </c>
      <c r="L31" s="591">
        <v>0</v>
      </c>
      <c r="M31" s="591">
        <v>0</v>
      </c>
      <c r="N31" s="591">
        <v>0</v>
      </c>
      <c r="O31" s="591">
        <v>0</v>
      </c>
      <c r="P31" s="591">
        <v>0</v>
      </c>
      <c r="Q31" s="591">
        <v>0</v>
      </c>
      <c r="R31" s="591">
        <v>0</v>
      </c>
      <c r="S31" s="591">
        <v>0</v>
      </c>
      <c r="T31" s="591">
        <v>0</v>
      </c>
      <c r="U31" s="591">
        <v>0</v>
      </c>
      <c r="V31" s="591">
        <v>0</v>
      </c>
      <c r="W31" s="591">
        <v>0</v>
      </c>
      <c r="X31" s="341">
        <f t="shared" si="4"/>
        <v>0</v>
      </c>
    </row>
    <row r="32" spans="1:24" ht="11.25" x14ac:dyDescent="0.2">
      <c r="A32" s="340">
        <v>11</v>
      </c>
      <c r="C32" s="346" t="s">
        <v>1627</v>
      </c>
      <c r="D32" s="347">
        <f>SUM(D24:D31)</f>
        <v>0</v>
      </c>
      <c r="E32" s="347">
        <f t="shared" ref="E32:W32" si="5">SUM(E24:E31)</f>
        <v>0</v>
      </c>
      <c r="F32" s="347">
        <f t="shared" si="5"/>
        <v>0</v>
      </c>
      <c r="G32" s="347">
        <f t="shared" si="5"/>
        <v>0</v>
      </c>
      <c r="H32" s="347">
        <f t="shared" si="5"/>
        <v>0</v>
      </c>
      <c r="I32" s="347">
        <f t="shared" si="5"/>
        <v>0</v>
      </c>
      <c r="J32" s="347">
        <f t="shared" si="5"/>
        <v>0</v>
      </c>
      <c r="K32" s="347">
        <f t="shared" si="5"/>
        <v>0</v>
      </c>
      <c r="L32" s="347">
        <f t="shared" si="5"/>
        <v>0</v>
      </c>
      <c r="M32" s="347">
        <f t="shared" si="5"/>
        <v>0</v>
      </c>
      <c r="N32" s="347">
        <f t="shared" si="5"/>
        <v>0</v>
      </c>
      <c r="O32" s="347">
        <f t="shared" si="5"/>
        <v>0</v>
      </c>
      <c r="P32" s="347">
        <f t="shared" si="5"/>
        <v>0</v>
      </c>
      <c r="Q32" s="347">
        <f t="shared" si="5"/>
        <v>0</v>
      </c>
      <c r="R32" s="347">
        <f t="shared" si="5"/>
        <v>0</v>
      </c>
      <c r="S32" s="347">
        <f t="shared" si="5"/>
        <v>0</v>
      </c>
      <c r="T32" s="347">
        <f t="shared" si="5"/>
        <v>0</v>
      </c>
      <c r="U32" s="347">
        <f t="shared" si="5"/>
        <v>0</v>
      </c>
      <c r="V32" s="347">
        <f t="shared" si="5"/>
        <v>0</v>
      </c>
      <c r="W32" s="347">
        <f t="shared" si="5"/>
        <v>0</v>
      </c>
      <c r="X32" s="341">
        <f t="shared" si="4"/>
        <v>0</v>
      </c>
    </row>
    <row r="33" spans="1:24" ht="11.25" x14ac:dyDescent="0.2">
      <c r="A33" s="371" t="s">
        <v>1095</v>
      </c>
      <c r="B33" s="369"/>
      <c r="C33" s="348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</row>
    <row r="34" spans="1:24" ht="11.25" x14ac:dyDescent="0.2">
      <c r="A34" s="340">
        <v>5</v>
      </c>
      <c r="B34" s="588" t="s">
        <v>1577</v>
      </c>
      <c r="C34" s="312" t="s">
        <v>228</v>
      </c>
      <c r="D34" s="528">
        <f t="array" ref="D34">SUM(IF(CertFund&amp;CertProg&amp;CertObj&amp;CertGrant=RIGHT(LEFT($A$2,7),2)&amp;LEFT($A$33,4)&amp;$B$34&amp;D$3,CertSalary))</f>
        <v>0</v>
      </c>
      <c r="E34" s="528">
        <f t="array" ref="E34">SUM(IF(CertFund&amp;CertProg&amp;CertObj&amp;CertGrant=RIGHT(LEFT($A$2,7),2)&amp;LEFT($A$33,4)&amp;$B$34&amp;E$3,CertSalary))</f>
        <v>0</v>
      </c>
      <c r="F34" s="528">
        <f t="array" ref="F34">SUM(IF(CertFund&amp;CertProg&amp;CertObj&amp;CertGrant=RIGHT(LEFT($A$2,7),2)&amp;LEFT($A$33,4)&amp;$B$34&amp;F$3,CertSalary))</f>
        <v>0</v>
      </c>
      <c r="G34" s="528">
        <f t="array" ref="G34">SUM(IF(CertFund&amp;CertProg&amp;CertObj&amp;CertGrant=RIGHT(LEFT($A$2,7),2)&amp;LEFT($A$33,4)&amp;$B$34&amp;G$3,CertSalary))</f>
        <v>0</v>
      </c>
      <c r="H34" s="528">
        <f t="array" ref="H34">SUM(IF(CertFund&amp;CertProg&amp;CertObj&amp;CertGrant=RIGHT(LEFT($A$2,7),2)&amp;LEFT($A$33,4)&amp;$B$34&amp;H$3,CertSalary))</f>
        <v>0</v>
      </c>
      <c r="I34" s="528">
        <f t="array" ref="I34">SUM(IF(CertFund&amp;CertProg&amp;CertObj&amp;CertGrant=RIGHT(LEFT($A$2,7),2)&amp;LEFT($A$33,4)&amp;$B$34&amp;I$3,CertSalary))</f>
        <v>0</v>
      </c>
      <c r="J34" s="528">
        <f t="array" ref="J34">SUM(IF(CertFund&amp;CertProg&amp;CertObj&amp;CertGrant=RIGHT(LEFT($A$2,7),2)&amp;LEFT($A$33,4)&amp;$B$34&amp;J$3,CertSalary))</f>
        <v>0</v>
      </c>
      <c r="K34" s="528">
        <f t="array" ref="K34">SUM(IF(CertFund&amp;CertProg&amp;CertObj&amp;CertGrant=RIGHT(LEFT($A$2,7),2)&amp;LEFT($A$33,4)&amp;$B$34&amp;K$3,CertSalary))</f>
        <v>0</v>
      </c>
      <c r="L34" s="528">
        <f t="array" ref="L34">SUM(IF(CertFund&amp;CertProg&amp;CertObj&amp;CertGrant=RIGHT(LEFT($A$2,7),2)&amp;LEFT($A$33,4)&amp;$B$34&amp;L$3,CertSalary))</f>
        <v>0</v>
      </c>
      <c r="M34" s="528">
        <f t="array" ref="M34">SUM(IF(CertFund&amp;CertProg&amp;CertObj&amp;CertGrant=RIGHT(LEFT($A$2,7),2)&amp;LEFT($A$33,4)&amp;$B$34&amp;M$3,CertSalary))</f>
        <v>0</v>
      </c>
      <c r="N34" s="528">
        <f t="array" ref="N34">SUM(IF(CertFund&amp;CertProg&amp;CertObj&amp;CertGrant=RIGHT(LEFT($A$2,7),2)&amp;LEFT($A$33,4)&amp;$B$34&amp;N$3,CertSalary))</f>
        <v>0</v>
      </c>
      <c r="O34" s="528">
        <f t="array" ref="O34">SUM(IF(CertFund&amp;CertProg&amp;CertObj&amp;CertGrant=RIGHT(LEFT($A$2,7),2)&amp;LEFT($A$33,4)&amp;$B$34&amp;O$3,CertSalary))</f>
        <v>0</v>
      </c>
      <c r="P34" s="528">
        <f t="array" ref="P34">SUM(IF(CertFund&amp;CertProg&amp;CertObj&amp;CertGrant=RIGHT(LEFT($A$2,7),2)&amp;LEFT($A$33,4)&amp;$B$34&amp;P$3,CertSalary))</f>
        <v>0</v>
      </c>
      <c r="Q34" s="528">
        <f t="array" ref="Q34">SUM(IF(CertFund&amp;CertProg&amp;CertObj&amp;CertGrant=RIGHT(LEFT($A$2,7),2)&amp;LEFT($A$33,4)&amp;$B$34&amp;Q$3,CertSalary))</f>
        <v>0</v>
      </c>
      <c r="R34" s="528">
        <f t="array" ref="R34">SUM(IF(CertFund&amp;CertProg&amp;CertObj&amp;CertGrant=RIGHT(LEFT($A$2,7),2)&amp;LEFT($A$33,4)&amp;$B$34&amp;R$3,CertSalary))</f>
        <v>0</v>
      </c>
      <c r="S34" s="528">
        <f t="array" ref="S34">SUM(IF(CertFund&amp;CertProg&amp;CertObj&amp;CertGrant=RIGHT(LEFT($A$2,7),2)&amp;LEFT($A$33,4)&amp;$B$34&amp;S$3,CertSalary))</f>
        <v>0</v>
      </c>
      <c r="T34" s="528">
        <f t="array" ref="T34">SUM(IF(CertFund&amp;CertProg&amp;CertObj&amp;CertGrant=RIGHT(LEFT($A$2,7),2)&amp;LEFT($A$33,4)&amp;$B$34&amp;T$3,CertSalary))</f>
        <v>0</v>
      </c>
      <c r="U34" s="528">
        <f t="array" ref="U34">SUM(IF(CertFund&amp;CertProg&amp;CertObj&amp;CertGrant=RIGHT(LEFT($A$2,7),2)&amp;LEFT($A$33,4)&amp;$B$34&amp;U$3,CertSalary))</f>
        <v>0</v>
      </c>
      <c r="V34" s="528">
        <f t="array" ref="V34">SUM(IF(CertFund&amp;CertProg&amp;CertObj&amp;CertGrant=RIGHT(LEFT($A$2,7),2)&amp;LEFT($A$33,4)&amp;$B$34&amp;V$3,CertSalary))</f>
        <v>0</v>
      </c>
      <c r="W34" s="528">
        <f t="array" ref="W34">SUM(IF(CertFund&amp;CertProg&amp;CertObj&amp;CertGrant=RIGHT(LEFT($A$2,7),2)&amp;LEFT($A$33,4)&amp;$B$34&amp;W$3,CertSalary))</f>
        <v>0</v>
      </c>
      <c r="X34" s="347">
        <f t="shared" ref="X34:X42" si="6">SUM(D34:W34)</f>
        <v>0</v>
      </c>
    </row>
    <row r="35" spans="1:24" ht="11.25" x14ac:dyDescent="0.2">
      <c r="A35" s="340" t="s">
        <v>1437</v>
      </c>
      <c r="B35" s="588" t="s">
        <v>1577</v>
      </c>
      <c r="C35" s="312" t="s">
        <v>510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341">
        <f t="shared" si="6"/>
        <v>0</v>
      </c>
    </row>
    <row r="36" spans="1:24" ht="11.25" x14ac:dyDescent="0.2">
      <c r="A36" s="340">
        <v>6</v>
      </c>
      <c r="B36" s="588" t="s">
        <v>1578</v>
      </c>
      <c r="C36" s="312" t="s">
        <v>76</v>
      </c>
      <c r="D36" s="528">
        <f t="array" ref="D36">SUM(IF(CertFund&amp;CertProg&amp;CertObj&amp;CertGrant=RIGHT(LEFT($A$2,7),2)&amp;LEFT($A$33,4)&amp;$B$34&amp;D$3,CertBen))</f>
        <v>0</v>
      </c>
      <c r="E36" s="528">
        <f t="array" ref="E36">SUM(IF(CertFund&amp;CertProg&amp;CertObj&amp;CertGrant=RIGHT(LEFT($A$2,7),2)&amp;LEFT($A$33,4)&amp;$B$34&amp;E$3,CertBen))</f>
        <v>0</v>
      </c>
      <c r="F36" s="528">
        <f t="array" ref="F36">SUM(IF(CertFund&amp;CertProg&amp;CertObj&amp;CertGrant=RIGHT(LEFT($A$2,7),2)&amp;LEFT($A$33,4)&amp;$B$34&amp;F$3,CertBen))</f>
        <v>0</v>
      </c>
      <c r="G36" s="528">
        <f t="array" ref="G36">SUM(IF(CertFund&amp;CertProg&amp;CertObj&amp;CertGrant=RIGHT(LEFT($A$2,7),2)&amp;LEFT($A$33,4)&amp;$B$34&amp;G$3,CertBen))</f>
        <v>0</v>
      </c>
      <c r="H36" s="528">
        <f t="array" ref="H36">SUM(IF(CertFund&amp;CertProg&amp;CertObj&amp;CertGrant=RIGHT(LEFT($A$2,7),2)&amp;LEFT($A$33,4)&amp;$B$34&amp;H$3,CertBen))</f>
        <v>0</v>
      </c>
      <c r="I36" s="528">
        <f t="array" ref="I36">SUM(IF(CertFund&amp;CertProg&amp;CertObj&amp;CertGrant=RIGHT(LEFT($A$2,7),2)&amp;LEFT($A$33,4)&amp;$B$34&amp;I$3,CertBen))</f>
        <v>0</v>
      </c>
      <c r="J36" s="528">
        <f t="array" ref="J36">SUM(IF(CertFund&amp;CertProg&amp;CertObj&amp;CertGrant=RIGHT(LEFT($A$2,7),2)&amp;LEFT($A$33,4)&amp;$B$34&amp;J$3,CertBen))</f>
        <v>0</v>
      </c>
      <c r="K36" s="528">
        <f t="array" ref="K36">SUM(IF(CertFund&amp;CertProg&amp;CertObj&amp;CertGrant=RIGHT(LEFT($A$2,7),2)&amp;LEFT($A$33,4)&amp;$B$34&amp;K$3,CertBen))</f>
        <v>0</v>
      </c>
      <c r="L36" s="528">
        <f t="array" ref="L36">SUM(IF(CertFund&amp;CertProg&amp;CertObj&amp;CertGrant=RIGHT(LEFT($A$2,7),2)&amp;LEFT($A$33,4)&amp;$B$34&amp;L$3,CertBen))</f>
        <v>0</v>
      </c>
      <c r="M36" s="528">
        <f t="array" ref="M36">SUM(IF(CertFund&amp;CertProg&amp;CertObj&amp;CertGrant=RIGHT(LEFT($A$2,7),2)&amp;LEFT($A$33,4)&amp;$B$34&amp;M$3,CertBen))</f>
        <v>0</v>
      </c>
      <c r="N36" s="528">
        <f t="array" ref="N36">SUM(IF(CertFund&amp;CertProg&amp;CertObj&amp;CertGrant=RIGHT(LEFT($A$2,7),2)&amp;LEFT($A$33,4)&amp;$B$34&amp;N$3,CertBen))</f>
        <v>0</v>
      </c>
      <c r="O36" s="528">
        <f t="array" ref="O36">SUM(IF(CertFund&amp;CertProg&amp;CertObj&amp;CertGrant=RIGHT(LEFT($A$2,7),2)&amp;LEFT($A$33,4)&amp;$B$34&amp;O$3,CertBen))</f>
        <v>0</v>
      </c>
      <c r="P36" s="528">
        <f t="array" ref="P36">SUM(IF(CertFund&amp;CertProg&amp;CertObj&amp;CertGrant=RIGHT(LEFT($A$2,7),2)&amp;LEFT($A$33,4)&amp;$B$34&amp;P$3,CertBen))</f>
        <v>0</v>
      </c>
      <c r="Q36" s="528">
        <f t="array" ref="Q36">SUM(IF(CertFund&amp;CertProg&amp;CertObj&amp;CertGrant=RIGHT(LEFT($A$2,7),2)&amp;LEFT($A$33,4)&amp;$B$34&amp;Q$3,CertBen))</f>
        <v>0</v>
      </c>
      <c r="R36" s="528">
        <f t="array" ref="R36">SUM(IF(CertFund&amp;CertProg&amp;CertObj&amp;CertGrant=RIGHT(LEFT($A$2,7),2)&amp;LEFT($A$33,4)&amp;$B$34&amp;R$3,CertBen))</f>
        <v>0</v>
      </c>
      <c r="S36" s="528">
        <f t="array" ref="S36">SUM(IF(CertFund&amp;CertProg&amp;CertObj&amp;CertGrant=RIGHT(LEFT($A$2,7),2)&amp;LEFT($A$33,4)&amp;$B$34&amp;S$3,CertBen))</f>
        <v>0</v>
      </c>
      <c r="T36" s="528">
        <f t="array" ref="T36">SUM(IF(CertFund&amp;CertProg&amp;CertObj&amp;CertGrant=RIGHT(LEFT($A$2,7),2)&amp;LEFT($A$33,4)&amp;$B$34&amp;T$3,CertBen))</f>
        <v>0</v>
      </c>
      <c r="U36" s="528">
        <f t="array" ref="U36">SUM(IF(CertFund&amp;CertProg&amp;CertObj&amp;CertGrant=RIGHT(LEFT($A$2,7),2)&amp;LEFT($A$33,4)&amp;$B$34&amp;U$3,CertBen))</f>
        <v>0</v>
      </c>
      <c r="V36" s="528">
        <f t="array" ref="V36">SUM(IF(CertFund&amp;CertProg&amp;CertObj&amp;CertGrant=RIGHT(LEFT($A$2,7),2)&amp;LEFT($A$33,4)&amp;$B$34&amp;V$3,CertBen))</f>
        <v>0</v>
      </c>
      <c r="W36" s="528">
        <f t="array" ref="W36">SUM(IF(CertFund&amp;CertProg&amp;CertObj&amp;CertGrant=RIGHT(LEFT($A$2,7),2)&amp;LEFT($A$33,4)&amp;$B$34&amp;W$3,CertBen))</f>
        <v>0</v>
      </c>
      <c r="X36" s="341">
        <f t="shared" si="6"/>
        <v>0</v>
      </c>
    </row>
    <row r="37" spans="1:24" ht="11.25" x14ac:dyDescent="0.2">
      <c r="A37" s="340" t="s">
        <v>1438</v>
      </c>
      <c r="B37" s="588" t="s">
        <v>1578</v>
      </c>
      <c r="C37" s="312" t="s">
        <v>511</v>
      </c>
      <c r="D37" s="590">
        <v>0</v>
      </c>
      <c r="E37" s="590">
        <v>0</v>
      </c>
      <c r="F37" s="590">
        <v>0</v>
      </c>
      <c r="G37" s="590">
        <v>0</v>
      </c>
      <c r="H37" s="590">
        <v>0</v>
      </c>
      <c r="I37" s="590">
        <v>0</v>
      </c>
      <c r="J37" s="590">
        <v>0</v>
      </c>
      <c r="K37" s="590">
        <v>0</v>
      </c>
      <c r="L37" s="590">
        <v>0</v>
      </c>
      <c r="M37" s="590">
        <v>0</v>
      </c>
      <c r="N37" s="590">
        <v>0</v>
      </c>
      <c r="O37" s="590">
        <v>0</v>
      </c>
      <c r="P37" s="590">
        <v>0</v>
      </c>
      <c r="Q37" s="590">
        <v>0</v>
      </c>
      <c r="R37" s="590">
        <v>0</v>
      </c>
      <c r="S37" s="590">
        <v>0</v>
      </c>
      <c r="T37" s="590">
        <v>0</v>
      </c>
      <c r="U37" s="590">
        <v>0</v>
      </c>
      <c r="V37" s="590">
        <v>0</v>
      </c>
      <c r="W37" s="590">
        <v>0</v>
      </c>
      <c r="X37" s="341">
        <f t="shared" si="6"/>
        <v>0</v>
      </c>
    </row>
    <row r="38" spans="1:24" ht="11.25" x14ac:dyDescent="0.2">
      <c r="A38" s="340">
        <v>7</v>
      </c>
      <c r="B38" s="188" t="s">
        <v>1579</v>
      </c>
      <c r="C38" s="329" t="s">
        <v>273</v>
      </c>
      <c r="D38" s="590">
        <v>0</v>
      </c>
      <c r="E38" s="590">
        <v>0</v>
      </c>
      <c r="F38" s="590">
        <v>0</v>
      </c>
      <c r="G38" s="590">
        <v>0</v>
      </c>
      <c r="H38" s="590">
        <v>0</v>
      </c>
      <c r="I38" s="590">
        <v>0</v>
      </c>
      <c r="J38" s="590">
        <v>0</v>
      </c>
      <c r="K38" s="590">
        <v>0</v>
      </c>
      <c r="L38" s="591">
        <v>0</v>
      </c>
      <c r="M38" s="591">
        <v>0</v>
      </c>
      <c r="N38" s="591">
        <v>0</v>
      </c>
      <c r="O38" s="591">
        <v>0</v>
      </c>
      <c r="P38" s="591">
        <v>0</v>
      </c>
      <c r="Q38" s="591">
        <v>0</v>
      </c>
      <c r="R38" s="591">
        <v>0</v>
      </c>
      <c r="S38" s="591">
        <v>0</v>
      </c>
      <c r="T38" s="591">
        <v>0</v>
      </c>
      <c r="U38" s="591">
        <v>0</v>
      </c>
      <c r="V38" s="591">
        <v>0</v>
      </c>
      <c r="W38" s="591">
        <v>0</v>
      </c>
      <c r="X38" s="341">
        <f t="shared" si="6"/>
        <v>0</v>
      </c>
    </row>
    <row r="39" spans="1:24" ht="11.25" x14ac:dyDescent="0.2">
      <c r="A39" s="340">
        <v>8</v>
      </c>
      <c r="B39" s="188" t="s">
        <v>1581</v>
      </c>
      <c r="C39" s="329" t="s">
        <v>274</v>
      </c>
      <c r="D39" s="590">
        <v>0</v>
      </c>
      <c r="E39" s="590">
        <v>0</v>
      </c>
      <c r="F39" s="590">
        <v>0</v>
      </c>
      <c r="G39" s="590">
        <v>0</v>
      </c>
      <c r="H39" s="590">
        <v>0</v>
      </c>
      <c r="I39" s="590">
        <v>0</v>
      </c>
      <c r="J39" s="590">
        <v>0</v>
      </c>
      <c r="K39" s="590">
        <v>0</v>
      </c>
      <c r="L39" s="591">
        <v>0</v>
      </c>
      <c r="M39" s="591">
        <v>0</v>
      </c>
      <c r="N39" s="591">
        <v>0</v>
      </c>
      <c r="O39" s="591">
        <v>0</v>
      </c>
      <c r="P39" s="591">
        <v>0</v>
      </c>
      <c r="Q39" s="591">
        <v>0</v>
      </c>
      <c r="R39" s="591">
        <v>0</v>
      </c>
      <c r="S39" s="591">
        <v>0</v>
      </c>
      <c r="T39" s="591">
        <v>0</v>
      </c>
      <c r="U39" s="591">
        <v>0</v>
      </c>
      <c r="V39" s="591">
        <v>0</v>
      </c>
      <c r="W39" s="591">
        <v>0</v>
      </c>
      <c r="X39" s="341">
        <f t="shared" si="6"/>
        <v>0</v>
      </c>
    </row>
    <row r="40" spans="1:24" ht="11.25" x14ac:dyDescent="0.2">
      <c r="A40" s="340">
        <v>9</v>
      </c>
      <c r="B40" s="188" t="s">
        <v>1582</v>
      </c>
      <c r="C40" s="329" t="s">
        <v>275</v>
      </c>
      <c r="D40" s="590">
        <v>0</v>
      </c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0</v>
      </c>
      <c r="K40" s="590">
        <v>0</v>
      </c>
      <c r="L40" s="591">
        <v>0</v>
      </c>
      <c r="M40" s="591">
        <v>0</v>
      </c>
      <c r="N40" s="591">
        <v>0</v>
      </c>
      <c r="O40" s="591">
        <v>0</v>
      </c>
      <c r="P40" s="591">
        <v>0</v>
      </c>
      <c r="Q40" s="591">
        <v>0</v>
      </c>
      <c r="R40" s="591">
        <v>0</v>
      </c>
      <c r="S40" s="591">
        <v>0</v>
      </c>
      <c r="T40" s="591">
        <v>0</v>
      </c>
      <c r="U40" s="591">
        <v>0</v>
      </c>
      <c r="V40" s="591">
        <v>0</v>
      </c>
      <c r="W40" s="591">
        <v>0</v>
      </c>
      <c r="X40" s="341">
        <f t="shared" si="6"/>
        <v>0</v>
      </c>
    </row>
    <row r="41" spans="1:24" ht="11.25" x14ac:dyDescent="0.2">
      <c r="A41" s="350">
        <v>10</v>
      </c>
      <c r="B41" s="188" t="s">
        <v>1584</v>
      </c>
      <c r="C41" s="327" t="s">
        <v>276</v>
      </c>
      <c r="D41" s="590">
        <v>0</v>
      </c>
      <c r="E41" s="590">
        <v>0</v>
      </c>
      <c r="F41" s="590">
        <v>0</v>
      </c>
      <c r="G41" s="590">
        <v>0</v>
      </c>
      <c r="H41" s="590">
        <v>0</v>
      </c>
      <c r="I41" s="590">
        <v>0</v>
      </c>
      <c r="J41" s="590">
        <v>0</v>
      </c>
      <c r="K41" s="590">
        <v>0</v>
      </c>
      <c r="L41" s="591">
        <v>0</v>
      </c>
      <c r="M41" s="591">
        <v>0</v>
      </c>
      <c r="N41" s="591">
        <v>0</v>
      </c>
      <c r="O41" s="591">
        <v>0</v>
      </c>
      <c r="P41" s="591">
        <v>0</v>
      </c>
      <c r="Q41" s="591">
        <v>0</v>
      </c>
      <c r="R41" s="591">
        <v>0</v>
      </c>
      <c r="S41" s="591">
        <v>0</v>
      </c>
      <c r="T41" s="591">
        <v>0</v>
      </c>
      <c r="U41" s="591">
        <v>0</v>
      </c>
      <c r="V41" s="591">
        <v>0</v>
      </c>
      <c r="W41" s="591">
        <v>0</v>
      </c>
      <c r="X41" s="341">
        <f t="shared" si="6"/>
        <v>0</v>
      </c>
    </row>
    <row r="42" spans="1:24" ht="11.25" x14ac:dyDescent="0.2">
      <c r="A42" s="340">
        <v>11</v>
      </c>
      <c r="C42" s="346" t="s">
        <v>1628</v>
      </c>
      <c r="D42" s="347">
        <f>SUM(D34:D41)</f>
        <v>0</v>
      </c>
      <c r="E42" s="347">
        <f t="shared" ref="E42:W42" si="7">SUM(E34:E41)</f>
        <v>0</v>
      </c>
      <c r="F42" s="347">
        <f t="shared" si="7"/>
        <v>0</v>
      </c>
      <c r="G42" s="347">
        <f t="shared" si="7"/>
        <v>0</v>
      </c>
      <c r="H42" s="347">
        <f t="shared" si="7"/>
        <v>0</v>
      </c>
      <c r="I42" s="347">
        <f t="shared" si="7"/>
        <v>0</v>
      </c>
      <c r="J42" s="347">
        <f t="shared" si="7"/>
        <v>0</v>
      </c>
      <c r="K42" s="347">
        <f t="shared" si="7"/>
        <v>0</v>
      </c>
      <c r="L42" s="347">
        <f t="shared" si="7"/>
        <v>0</v>
      </c>
      <c r="M42" s="347">
        <f t="shared" si="7"/>
        <v>0</v>
      </c>
      <c r="N42" s="347">
        <f t="shared" si="7"/>
        <v>0</v>
      </c>
      <c r="O42" s="347">
        <f t="shared" si="7"/>
        <v>0</v>
      </c>
      <c r="P42" s="347">
        <f t="shared" si="7"/>
        <v>0</v>
      </c>
      <c r="Q42" s="347">
        <f t="shared" si="7"/>
        <v>0</v>
      </c>
      <c r="R42" s="347">
        <f t="shared" si="7"/>
        <v>0</v>
      </c>
      <c r="S42" s="347">
        <f t="shared" si="7"/>
        <v>0</v>
      </c>
      <c r="T42" s="347">
        <f t="shared" si="7"/>
        <v>0</v>
      </c>
      <c r="U42" s="347">
        <f t="shared" si="7"/>
        <v>0</v>
      </c>
      <c r="V42" s="347">
        <f t="shared" si="7"/>
        <v>0</v>
      </c>
      <c r="W42" s="347">
        <f t="shared" si="7"/>
        <v>0</v>
      </c>
      <c r="X42" s="341">
        <f t="shared" si="6"/>
        <v>0</v>
      </c>
    </row>
    <row r="43" spans="1:24" ht="11.25" x14ac:dyDescent="0.2">
      <c r="A43" s="371" t="s">
        <v>1434</v>
      </c>
      <c r="B43" s="369"/>
      <c r="C43" s="348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</row>
    <row r="44" spans="1:24" ht="11.25" x14ac:dyDescent="0.2">
      <c r="A44" s="340">
        <v>5</v>
      </c>
      <c r="B44" s="588" t="s">
        <v>1577</v>
      </c>
      <c r="C44" s="312" t="s">
        <v>228</v>
      </c>
      <c r="D44" s="528">
        <f t="array" ref="D44">SUM(IF(CertFund&amp;CertProg&amp;CertObj&amp;CertGrant=RIGHT(LEFT($A$2,7),2)&amp;LEFT($A$43,4)&amp;$B$44&amp;D$3,CertSalary))</f>
        <v>0</v>
      </c>
      <c r="E44" s="528">
        <f t="array" ref="E44">SUM(IF(CertFund&amp;CertProg&amp;CertObj&amp;CertGrant=RIGHT(LEFT($A$2,7),2)&amp;LEFT($A$43,4)&amp;$B$44&amp;E$3,CertSalary))</f>
        <v>0</v>
      </c>
      <c r="F44" s="528">
        <f t="array" ref="F44">SUM(IF(CertFund&amp;CertProg&amp;CertObj&amp;CertGrant=RIGHT(LEFT($A$2,7),2)&amp;LEFT($A$43,4)&amp;$B$44&amp;F$3,CertSalary))</f>
        <v>0</v>
      </c>
      <c r="G44" s="528">
        <f t="array" ref="G44">SUM(IF(CertFund&amp;CertProg&amp;CertObj&amp;CertGrant=RIGHT(LEFT($A$2,7),2)&amp;LEFT($A$43,4)&amp;$B$44&amp;G$3,CertSalary))</f>
        <v>0</v>
      </c>
      <c r="H44" s="528">
        <f t="array" ref="H44">SUM(IF(CertFund&amp;CertProg&amp;CertObj&amp;CertGrant=RIGHT(LEFT($A$2,7),2)&amp;LEFT($A$43,4)&amp;$B$44&amp;H$3,CertSalary))</f>
        <v>0</v>
      </c>
      <c r="I44" s="528">
        <f t="array" ref="I44">SUM(IF(CertFund&amp;CertProg&amp;CertObj&amp;CertGrant=RIGHT(LEFT($A$2,7),2)&amp;LEFT($A$43,4)&amp;$B$44&amp;I$3,CertSalary))</f>
        <v>0</v>
      </c>
      <c r="J44" s="528">
        <f t="array" ref="J44">SUM(IF(CertFund&amp;CertProg&amp;CertObj&amp;CertGrant=RIGHT(LEFT($A$2,7),2)&amp;LEFT($A$43,4)&amp;$B$44&amp;J$3,CertSalary))</f>
        <v>0</v>
      </c>
      <c r="K44" s="528">
        <f t="array" ref="K44">SUM(IF(CertFund&amp;CertProg&amp;CertObj&amp;CertGrant=RIGHT(LEFT($A$2,7),2)&amp;LEFT($A$43,4)&amp;$B$44&amp;K$3,CertSalary))</f>
        <v>0</v>
      </c>
      <c r="L44" s="528">
        <f t="array" ref="L44">SUM(IF(CertFund&amp;CertProg&amp;CertObj&amp;CertGrant=RIGHT(LEFT($A$2,7),2)&amp;LEFT($A$43,4)&amp;$B$44&amp;L$3,CertSalary))</f>
        <v>0</v>
      </c>
      <c r="M44" s="528">
        <f t="array" ref="M44">SUM(IF(CertFund&amp;CertProg&amp;CertObj&amp;CertGrant=RIGHT(LEFT($A$2,7),2)&amp;LEFT($A$43,4)&amp;$B$44&amp;M$3,CertSalary))</f>
        <v>0</v>
      </c>
      <c r="N44" s="528">
        <f t="array" ref="N44">SUM(IF(CertFund&amp;CertProg&amp;CertObj&amp;CertGrant=RIGHT(LEFT($A$2,7),2)&amp;LEFT($A$43,4)&amp;$B$44&amp;N$3,CertSalary))</f>
        <v>0</v>
      </c>
      <c r="O44" s="528">
        <f t="array" ref="O44">SUM(IF(CertFund&amp;CertProg&amp;CertObj&amp;CertGrant=RIGHT(LEFT($A$2,7),2)&amp;LEFT($A$43,4)&amp;$B$44&amp;O$3,CertSalary))</f>
        <v>0</v>
      </c>
      <c r="P44" s="528">
        <f t="array" ref="P44">SUM(IF(CertFund&amp;CertProg&amp;CertObj&amp;CertGrant=RIGHT(LEFT($A$2,7),2)&amp;LEFT($A$43,4)&amp;$B$44&amp;P$3,CertSalary))</f>
        <v>0</v>
      </c>
      <c r="Q44" s="528">
        <f t="array" ref="Q44">SUM(IF(CertFund&amp;CertProg&amp;CertObj&amp;CertGrant=RIGHT(LEFT($A$2,7),2)&amp;LEFT($A$43,4)&amp;$B$44&amp;Q$3,CertSalary))</f>
        <v>0</v>
      </c>
      <c r="R44" s="528">
        <f t="array" ref="R44">SUM(IF(CertFund&amp;CertProg&amp;CertObj&amp;CertGrant=RIGHT(LEFT($A$2,7),2)&amp;LEFT($A$43,4)&amp;$B$44&amp;R$3,CertSalary))</f>
        <v>0</v>
      </c>
      <c r="S44" s="528">
        <f t="array" ref="S44">SUM(IF(CertFund&amp;CertProg&amp;CertObj&amp;CertGrant=RIGHT(LEFT($A$2,7),2)&amp;LEFT($A$43,4)&amp;$B$44&amp;S$3,CertSalary))</f>
        <v>0</v>
      </c>
      <c r="T44" s="528">
        <f t="array" ref="T44">SUM(IF(CertFund&amp;CertProg&amp;CertObj&amp;CertGrant=RIGHT(LEFT($A$2,7),2)&amp;LEFT($A$43,4)&amp;$B$44&amp;T$3,CertSalary))</f>
        <v>0</v>
      </c>
      <c r="U44" s="528">
        <f t="array" ref="U44">SUM(IF(CertFund&amp;CertProg&amp;CertObj&amp;CertGrant=RIGHT(LEFT($A$2,7),2)&amp;LEFT($A$43,4)&amp;$B$44&amp;U$3,CertSalary))</f>
        <v>0</v>
      </c>
      <c r="V44" s="528">
        <f t="array" ref="V44">SUM(IF(CertFund&amp;CertProg&amp;CertObj&amp;CertGrant=RIGHT(LEFT($A$2,7),2)&amp;LEFT($A$43,4)&amp;$B$44&amp;V$3,CertSalary))</f>
        <v>0</v>
      </c>
      <c r="W44" s="528">
        <f t="array" ref="W44">SUM(IF(CertFund&amp;CertProg&amp;CertObj&amp;CertGrant=RIGHT(LEFT($A$2,7),2)&amp;LEFT($A$43,4)&amp;$B$44&amp;W$3,CertSalary))</f>
        <v>0</v>
      </c>
      <c r="X44" s="347">
        <f t="shared" ref="X44:X52" si="8">SUM(D44:W44)</f>
        <v>0</v>
      </c>
    </row>
    <row r="45" spans="1:24" ht="11.25" x14ac:dyDescent="0.2">
      <c r="A45" s="340" t="s">
        <v>1437</v>
      </c>
      <c r="B45" s="588" t="s">
        <v>1577</v>
      </c>
      <c r="C45" s="312" t="s">
        <v>510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341">
        <f t="shared" si="8"/>
        <v>0</v>
      </c>
    </row>
    <row r="46" spans="1:24" ht="11.25" x14ac:dyDescent="0.2">
      <c r="A46" s="340">
        <v>6</v>
      </c>
      <c r="B46" s="588" t="s">
        <v>1578</v>
      </c>
      <c r="C46" s="312" t="s">
        <v>76</v>
      </c>
      <c r="D46" s="528">
        <f t="array" ref="D46">SUM(IF(CertFund&amp;CertProg&amp;CertObj&amp;CertGrant=RIGHT(LEFT($A$2,7),2)&amp;LEFT($A$43,4)&amp;$B$44&amp;D$3,CertBen))</f>
        <v>0</v>
      </c>
      <c r="E46" s="528">
        <f t="array" ref="E46">SUM(IF(CertFund&amp;CertProg&amp;CertObj&amp;CertGrant=RIGHT(LEFT($A$2,7),2)&amp;LEFT($A$43,4)&amp;$B$44&amp;E$3,CertBen))</f>
        <v>0</v>
      </c>
      <c r="F46" s="528">
        <f t="array" ref="F46">SUM(IF(CertFund&amp;CertProg&amp;CertObj&amp;CertGrant=RIGHT(LEFT($A$2,7),2)&amp;LEFT($A$43,4)&amp;$B$44&amp;F$3,CertBen))</f>
        <v>0</v>
      </c>
      <c r="G46" s="528">
        <f t="array" ref="G46">SUM(IF(CertFund&amp;CertProg&amp;CertObj&amp;CertGrant=RIGHT(LEFT($A$2,7),2)&amp;LEFT($A$43,4)&amp;$B$44&amp;G$3,CertBen))</f>
        <v>0</v>
      </c>
      <c r="H46" s="528">
        <f t="array" ref="H46">SUM(IF(CertFund&amp;CertProg&amp;CertObj&amp;CertGrant=RIGHT(LEFT($A$2,7),2)&amp;LEFT($A$43,4)&amp;$B$44&amp;H$3,CertBen))</f>
        <v>0</v>
      </c>
      <c r="I46" s="528">
        <f t="array" ref="I46">SUM(IF(CertFund&amp;CertProg&amp;CertObj&amp;CertGrant=RIGHT(LEFT($A$2,7),2)&amp;LEFT($A$43,4)&amp;$B$44&amp;I$3,CertBen))</f>
        <v>0</v>
      </c>
      <c r="J46" s="528">
        <f t="array" ref="J46">SUM(IF(CertFund&amp;CertProg&amp;CertObj&amp;CertGrant=RIGHT(LEFT($A$2,7),2)&amp;LEFT($A$43,4)&amp;$B$44&amp;J$3,CertBen))</f>
        <v>0</v>
      </c>
      <c r="K46" s="528">
        <f t="array" ref="K46">SUM(IF(CertFund&amp;CertProg&amp;CertObj&amp;CertGrant=RIGHT(LEFT($A$2,7),2)&amp;LEFT($A$43,4)&amp;$B$44&amp;K$3,CertBen))</f>
        <v>0</v>
      </c>
      <c r="L46" s="528">
        <f t="array" ref="L46">SUM(IF(CertFund&amp;CertProg&amp;CertObj&amp;CertGrant=RIGHT(LEFT($A$2,7),2)&amp;LEFT($A$43,4)&amp;$B$44&amp;L$3,CertBen))</f>
        <v>0</v>
      </c>
      <c r="M46" s="528">
        <f t="array" ref="M46">SUM(IF(CertFund&amp;CertProg&amp;CertObj&amp;CertGrant=RIGHT(LEFT($A$2,7),2)&amp;LEFT($A$43,4)&amp;$B$44&amp;M$3,CertBen))</f>
        <v>0</v>
      </c>
      <c r="N46" s="528">
        <f t="array" ref="N46">SUM(IF(CertFund&amp;CertProg&amp;CertObj&amp;CertGrant=RIGHT(LEFT($A$2,7),2)&amp;LEFT($A$43,4)&amp;$B$44&amp;N$3,CertBen))</f>
        <v>0</v>
      </c>
      <c r="O46" s="528">
        <f t="array" ref="O46">SUM(IF(CertFund&amp;CertProg&amp;CertObj&amp;CertGrant=RIGHT(LEFT($A$2,7),2)&amp;LEFT($A$43,4)&amp;$B$44&amp;O$3,CertBen))</f>
        <v>0</v>
      </c>
      <c r="P46" s="528">
        <f t="array" ref="P46">SUM(IF(CertFund&amp;CertProg&amp;CertObj&amp;CertGrant=RIGHT(LEFT($A$2,7),2)&amp;LEFT($A$43,4)&amp;$B$44&amp;P$3,CertBen))</f>
        <v>0</v>
      </c>
      <c r="Q46" s="528">
        <f t="array" ref="Q46">SUM(IF(CertFund&amp;CertProg&amp;CertObj&amp;CertGrant=RIGHT(LEFT($A$2,7),2)&amp;LEFT($A$43,4)&amp;$B$44&amp;Q$3,CertBen))</f>
        <v>0</v>
      </c>
      <c r="R46" s="528">
        <f t="array" ref="R46">SUM(IF(CertFund&amp;CertProg&amp;CertObj&amp;CertGrant=RIGHT(LEFT($A$2,7),2)&amp;LEFT($A$43,4)&amp;$B$44&amp;R$3,CertBen))</f>
        <v>0</v>
      </c>
      <c r="S46" s="528">
        <f t="array" ref="S46">SUM(IF(CertFund&amp;CertProg&amp;CertObj&amp;CertGrant=RIGHT(LEFT($A$2,7),2)&amp;LEFT($A$43,4)&amp;$B$44&amp;S$3,CertBen))</f>
        <v>0</v>
      </c>
      <c r="T46" s="528">
        <f t="array" ref="T46">SUM(IF(CertFund&amp;CertProg&amp;CertObj&amp;CertGrant=RIGHT(LEFT($A$2,7),2)&amp;LEFT($A$43,4)&amp;$B$44&amp;T$3,CertBen))</f>
        <v>0</v>
      </c>
      <c r="U46" s="528">
        <f t="array" ref="U46">SUM(IF(CertFund&amp;CertProg&amp;CertObj&amp;CertGrant=RIGHT(LEFT($A$2,7),2)&amp;LEFT($A$43,4)&amp;$B$44&amp;U$3,CertBen))</f>
        <v>0</v>
      </c>
      <c r="V46" s="528">
        <f t="array" ref="V46">SUM(IF(CertFund&amp;CertProg&amp;CertObj&amp;CertGrant=RIGHT(LEFT($A$2,7),2)&amp;LEFT($A$43,4)&amp;$B$44&amp;V$3,CertBen))</f>
        <v>0</v>
      </c>
      <c r="W46" s="528">
        <f t="array" ref="W46">SUM(IF(CertFund&amp;CertProg&amp;CertObj&amp;CertGrant=RIGHT(LEFT($A$2,7),2)&amp;LEFT($A$43,4)&amp;$B$44&amp;W$3,CertBen))</f>
        <v>0</v>
      </c>
      <c r="X46" s="341">
        <f t="shared" si="8"/>
        <v>0</v>
      </c>
    </row>
    <row r="47" spans="1:24" ht="11.25" x14ac:dyDescent="0.2">
      <c r="A47" s="340" t="s">
        <v>1438</v>
      </c>
      <c r="B47" s="588" t="s">
        <v>1578</v>
      </c>
      <c r="C47" s="312" t="s">
        <v>511</v>
      </c>
      <c r="D47" s="590">
        <v>0</v>
      </c>
      <c r="E47" s="590">
        <v>0</v>
      </c>
      <c r="F47" s="590">
        <v>0</v>
      </c>
      <c r="G47" s="590">
        <v>0</v>
      </c>
      <c r="H47" s="590">
        <v>0</v>
      </c>
      <c r="I47" s="590">
        <v>0</v>
      </c>
      <c r="J47" s="590">
        <v>0</v>
      </c>
      <c r="K47" s="590">
        <v>0</v>
      </c>
      <c r="L47" s="590">
        <v>0</v>
      </c>
      <c r="M47" s="590">
        <v>0</v>
      </c>
      <c r="N47" s="590">
        <v>0</v>
      </c>
      <c r="O47" s="590">
        <v>0</v>
      </c>
      <c r="P47" s="590">
        <v>0</v>
      </c>
      <c r="Q47" s="590">
        <v>0</v>
      </c>
      <c r="R47" s="590">
        <v>0</v>
      </c>
      <c r="S47" s="590">
        <v>0</v>
      </c>
      <c r="T47" s="590">
        <v>0</v>
      </c>
      <c r="U47" s="590">
        <v>0</v>
      </c>
      <c r="V47" s="590">
        <v>0</v>
      </c>
      <c r="W47" s="590">
        <v>0</v>
      </c>
      <c r="X47" s="341">
        <f t="shared" si="8"/>
        <v>0</v>
      </c>
    </row>
    <row r="48" spans="1:24" ht="11.25" x14ac:dyDescent="0.2">
      <c r="A48" s="340">
        <v>7</v>
      </c>
      <c r="B48" s="188" t="s">
        <v>1579</v>
      </c>
      <c r="C48" s="329" t="s">
        <v>273</v>
      </c>
      <c r="D48" s="590">
        <v>0</v>
      </c>
      <c r="E48" s="590">
        <v>0</v>
      </c>
      <c r="F48" s="590">
        <v>0</v>
      </c>
      <c r="G48" s="590">
        <v>0</v>
      </c>
      <c r="H48" s="590">
        <v>0</v>
      </c>
      <c r="I48" s="590">
        <v>0</v>
      </c>
      <c r="J48" s="590">
        <v>0</v>
      </c>
      <c r="K48" s="590">
        <v>0</v>
      </c>
      <c r="L48" s="591">
        <v>0</v>
      </c>
      <c r="M48" s="591">
        <v>0</v>
      </c>
      <c r="N48" s="591">
        <v>0</v>
      </c>
      <c r="O48" s="591">
        <v>0</v>
      </c>
      <c r="P48" s="591">
        <v>0</v>
      </c>
      <c r="Q48" s="591">
        <v>0</v>
      </c>
      <c r="R48" s="591">
        <v>0</v>
      </c>
      <c r="S48" s="591">
        <v>0</v>
      </c>
      <c r="T48" s="591">
        <v>0</v>
      </c>
      <c r="U48" s="591">
        <v>0</v>
      </c>
      <c r="V48" s="591">
        <v>0</v>
      </c>
      <c r="W48" s="591">
        <v>0</v>
      </c>
      <c r="X48" s="341">
        <f t="shared" si="8"/>
        <v>0</v>
      </c>
    </row>
    <row r="49" spans="1:24" ht="11.25" x14ac:dyDescent="0.2">
      <c r="A49" s="340">
        <v>8</v>
      </c>
      <c r="B49" s="188" t="s">
        <v>1581</v>
      </c>
      <c r="C49" s="329" t="s">
        <v>274</v>
      </c>
      <c r="D49" s="590">
        <v>0</v>
      </c>
      <c r="E49" s="590">
        <v>0</v>
      </c>
      <c r="F49" s="590">
        <v>0</v>
      </c>
      <c r="G49" s="590">
        <v>0</v>
      </c>
      <c r="H49" s="590">
        <v>0</v>
      </c>
      <c r="I49" s="590">
        <v>0</v>
      </c>
      <c r="J49" s="590">
        <v>0</v>
      </c>
      <c r="K49" s="590">
        <v>0</v>
      </c>
      <c r="L49" s="591">
        <v>0</v>
      </c>
      <c r="M49" s="591">
        <v>0</v>
      </c>
      <c r="N49" s="591">
        <v>0</v>
      </c>
      <c r="O49" s="591">
        <v>0</v>
      </c>
      <c r="P49" s="591">
        <v>0</v>
      </c>
      <c r="Q49" s="591">
        <v>0</v>
      </c>
      <c r="R49" s="591">
        <v>0</v>
      </c>
      <c r="S49" s="591">
        <v>0</v>
      </c>
      <c r="T49" s="591">
        <v>0</v>
      </c>
      <c r="U49" s="591">
        <v>0</v>
      </c>
      <c r="V49" s="591">
        <v>0</v>
      </c>
      <c r="W49" s="591">
        <v>0</v>
      </c>
      <c r="X49" s="341">
        <f t="shared" si="8"/>
        <v>0</v>
      </c>
    </row>
    <row r="50" spans="1:24" ht="11.25" x14ac:dyDescent="0.2">
      <c r="A50" s="340">
        <v>9</v>
      </c>
      <c r="B50" s="188" t="s">
        <v>1582</v>
      </c>
      <c r="C50" s="329" t="s">
        <v>275</v>
      </c>
      <c r="D50" s="590">
        <v>0</v>
      </c>
      <c r="E50" s="590">
        <v>0</v>
      </c>
      <c r="F50" s="590">
        <v>0</v>
      </c>
      <c r="G50" s="590">
        <v>0</v>
      </c>
      <c r="H50" s="590">
        <v>0</v>
      </c>
      <c r="I50" s="590">
        <v>0</v>
      </c>
      <c r="J50" s="590">
        <v>0</v>
      </c>
      <c r="K50" s="590">
        <v>0</v>
      </c>
      <c r="L50" s="591">
        <v>0</v>
      </c>
      <c r="M50" s="591">
        <v>0</v>
      </c>
      <c r="N50" s="591">
        <v>0</v>
      </c>
      <c r="O50" s="591">
        <v>0</v>
      </c>
      <c r="P50" s="591">
        <v>0</v>
      </c>
      <c r="Q50" s="591">
        <v>0</v>
      </c>
      <c r="R50" s="591">
        <v>0</v>
      </c>
      <c r="S50" s="591">
        <v>0</v>
      </c>
      <c r="T50" s="591">
        <v>0</v>
      </c>
      <c r="U50" s="591">
        <v>0</v>
      </c>
      <c r="V50" s="591">
        <v>0</v>
      </c>
      <c r="W50" s="591">
        <v>0</v>
      </c>
      <c r="X50" s="341">
        <f t="shared" si="8"/>
        <v>0</v>
      </c>
    </row>
    <row r="51" spans="1:24" ht="11.25" x14ac:dyDescent="0.2">
      <c r="A51" s="350">
        <v>10</v>
      </c>
      <c r="B51" s="188" t="s">
        <v>1584</v>
      </c>
      <c r="C51" s="327" t="s">
        <v>276</v>
      </c>
      <c r="D51" s="590">
        <v>0</v>
      </c>
      <c r="E51" s="590">
        <v>0</v>
      </c>
      <c r="F51" s="590">
        <v>0</v>
      </c>
      <c r="G51" s="590">
        <v>0</v>
      </c>
      <c r="H51" s="590">
        <v>0</v>
      </c>
      <c r="I51" s="590">
        <v>0</v>
      </c>
      <c r="J51" s="590">
        <v>0</v>
      </c>
      <c r="K51" s="590">
        <v>0</v>
      </c>
      <c r="L51" s="591">
        <v>0</v>
      </c>
      <c r="M51" s="591">
        <v>0</v>
      </c>
      <c r="N51" s="591">
        <v>0</v>
      </c>
      <c r="O51" s="591">
        <v>0</v>
      </c>
      <c r="P51" s="591">
        <v>0</v>
      </c>
      <c r="Q51" s="591">
        <v>0</v>
      </c>
      <c r="R51" s="591">
        <v>0</v>
      </c>
      <c r="S51" s="591">
        <v>0</v>
      </c>
      <c r="T51" s="591">
        <v>0</v>
      </c>
      <c r="U51" s="591">
        <v>0</v>
      </c>
      <c r="V51" s="591">
        <v>0</v>
      </c>
      <c r="W51" s="591">
        <v>0</v>
      </c>
      <c r="X51" s="341">
        <f t="shared" si="8"/>
        <v>0</v>
      </c>
    </row>
    <row r="52" spans="1:24" ht="11.25" x14ac:dyDescent="0.2">
      <c r="A52" s="340">
        <v>11</v>
      </c>
      <c r="C52" s="346" t="s">
        <v>1629</v>
      </c>
      <c r="D52" s="347">
        <f>SUM(D44:D51)</f>
        <v>0</v>
      </c>
      <c r="E52" s="347">
        <f t="shared" ref="E52:W52" si="9">SUM(E44:E51)</f>
        <v>0</v>
      </c>
      <c r="F52" s="347">
        <f t="shared" si="9"/>
        <v>0</v>
      </c>
      <c r="G52" s="347">
        <f t="shared" si="9"/>
        <v>0</v>
      </c>
      <c r="H52" s="347">
        <f t="shared" si="9"/>
        <v>0</v>
      </c>
      <c r="I52" s="347">
        <f t="shared" si="9"/>
        <v>0</v>
      </c>
      <c r="J52" s="347">
        <f t="shared" si="9"/>
        <v>0</v>
      </c>
      <c r="K52" s="347">
        <f t="shared" si="9"/>
        <v>0</v>
      </c>
      <c r="L52" s="347">
        <f t="shared" si="9"/>
        <v>0</v>
      </c>
      <c r="M52" s="347">
        <f t="shared" si="9"/>
        <v>0</v>
      </c>
      <c r="N52" s="347">
        <f t="shared" si="9"/>
        <v>0</v>
      </c>
      <c r="O52" s="347">
        <f t="shared" si="9"/>
        <v>0</v>
      </c>
      <c r="P52" s="347">
        <f t="shared" si="9"/>
        <v>0</v>
      </c>
      <c r="Q52" s="347">
        <f t="shared" si="9"/>
        <v>0</v>
      </c>
      <c r="R52" s="347">
        <f t="shared" si="9"/>
        <v>0</v>
      </c>
      <c r="S52" s="347">
        <f t="shared" si="9"/>
        <v>0</v>
      </c>
      <c r="T52" s="347">
        <f t="shared" si="9"/>
        <v>0</v>
      </c>
      <c r="U52" s="347">
        <f t="shared" si="9"/>
        <v>0</v>
      </c>
      <c r="V52" s="347">
        <f t="shared" si="9"/>
        <v>0</v>
      </c>
      <c r="W52" s="347">
        <f t="shared" si="9"/>
        <v>0</v>
      </c>
      <c r="X52" s="341">
        <f t="shared" si="8"/>
        <v>0</v>
      </c>
    </row>
    <row r="53" spans="1:24" ht="11.25" x14ac:dyDescent="0.2">
      <c r="A53" s="371" t="s">
        <v>1096</v>
      </c>
      <c r="B53" s="677"/>
      <c r="C53" s="348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</row>
    <row r="54" spans="1:24" ht="11.25" x14ac:dyDescent="0.2">
      <c r="A54" s="340">
        <v>5</v>
      </c>
      <c r="B54" s="588" t="s">
        <v>1577</v>
      </c>
      <c r="C54" s="312" t="s">
        <v>228</v>
      </c>
      <c r="D54" s="528">
        <f t="array" ref="D54">SUM(IF(CertFund&amp;CertProg&amp;CertObj&amp;CertGrant=RIGHT(LEFT($A$2,7),2)&amp;LEFT($A$53,4)&amp;$B$54&amp;D$3,CertSalary))</f>
        <v>0</v>
      </c>
      <c r="E54" s="528">
        <f t="array" ref="E54">SUM(IF(CertFund&amp;CertProg&amp;CertObj&amp;CertGrant=RIGHT(LEFT($A$2,7),2)&amp;LEFT($A$53,4)&amp;$B$54&amp;E$3,CertSalary))</f>
        <v>0</v>
      </c>
      <c r="F54" s="528">
        <f t="array" ref="F54">SUM(IF(CertFund&amp;CertProg&amp;CertObj&amp;CertGrant=RIGHT(LEFT($A$2,7),2)&amp;LEFT($A$53,4)&amp;$B$54&amp;F$3,CertSalary))</f>
        <v>0</v>
      </c>
      <c r="G54" s="528">
        <f t="array" ref="G54">SUM(IF(CertFund&amp;CertProg&amp;CertObj&amp;CertGrant=RIGHT(LEFT($A$2,7),2)&amp;LEFT($A$53,4)&amp;$B$54&amp;G$3,CertSalary))</f>
        <v>0</v>
      </c>
      <c r="H54" s="528">
        <f t="array" ref="H54">SUM(IF(CertFund&amp;CertProg&amp;CertObj&amp;CertGrant=RIGHT(LEFT($A$2,7),2)&amp;LEFT($A$53,4)&amp;$B$54&amp;H$3,CertSalary))</f>
        <v>0</v>
      </c>
      <c r="I54" s="528">
        <f t="array" ref="I54">SUM(IF(CertFund&amp;CertProg&amp;CertObj&amp;CertGrant=RIGHT(LEFT($A$2,7),2)&amp;LEFT($A$53,4)&amp;$B$54&amp;I$3,CertSalary))</f>
        <v>0</v>
      </c>
      <c r="J54" s="528">
        <f t="array" ref="J54">SUM(IF(CertFund&amp;CertProg&amp;CertObj&amp;CertGrant=RIGHT(LEFT($A$2,7),2)&amp;LEFT($A$53,4)&amp;$B$54&amp;J$3,CertSalary))</f>
        <v>0</v>
      </c>
      <c r="K54" s="528">
        <f t="array" ref="K54">SUM(IF(CertFund&amp;CertProg&amp;CertObj&amp;CertGrant=RIGHT(LEFT($A$2,7),2)&amp;LEFT($A$53,4)&amp;$B$54&amp;K$3,CertSalary))</f>
        <v>0</v>
      </c>
      <c r="L54" s="528">
        <f t="array" ref="L54">SUM(IF(CertFund&amp;CertProg&amp;CertObj&amp;CertGrant=RIGHT(LEFT($A$2,7),2)&amp;LEFT($A$53,4)&amp;$B$54&amp;L$3,CertSalary))</f>
        <v>0</v>
      </c>
      <c r="M54" s="528">
        <f t="array" ref="M54">SUM(IF(CertFund&amp;CertProg&amp;CertObj&amp;CertGrant=RIGHT(LEFT($A$2,7),2)&amp;LEFT($A$53,4)&amp;$B$54&amp;M$3,CertSalary))</f>
        <v>0</v>
      </c>
      <c r="N54" s="528">
        <f t="array" ref="N54">SUM(IF(CertFund&amp;CertProg&amp;CertObj&amp;CertGrant=RIGHT(LEFT($A$2,7),2)&amp;LEFT($A$53,4)&amp;$B$54&amp;N$3,CertSalary))</f>
        <v>0</v>
      </c>
      <c r="O54" s="528">
        <f t="array" ref="O54">SUM(IF(CertFund&amp;CertProg&amp;CertObj&amp;CertGrant=RIGHT(LEFT($A$2,7),2)&amp;LEFT($A$53,4)&amp;$B$54&amp;O$3,CertSalary))</f>
        <v>0</v>
      </c>
      <c r="P54" s="528">
        <f t="array" ref="P54">SUM(IF(CertFund&amp;CertProg&amp;CertObj&amp;CertGrant=RIGHT(LEFT($A$2,7),2)&amp;LEFT($A$53,4)&amp;$B$54&amp;P$3,CertSalary))</f>
        <v>0</v>
      </c>
      <c r="Q54" s="528">
        <f t="array" ref="Q54">SUM(IF(CertFund&amp;CertProg&amp;CertObj&amp;CertGrant=RIGHT(LEFT($A$2,7),2)&amp;LEFT($A$53,4)&amp;$B$54&amp;Q$3,CertSalary))</f>
        <v>0</v>
      </c>
      <c r="R54" s="528">
        <f t="array" ref="R54">SUM(IF(CertFund&amp;CertProg&amp;CertObj&amp;CertGrant=RIGHT(LEFT($A$2,7),2)&amp;LEFT($A$53,4)&amp;$B$54&amp;R$3,CertSalary))</f>
        <v>0</v>
      </c>
      <c r="S54" s="528">
        <f t="array" ref="S54">SUM(IF(CertFund&amp;CertProg&amp;CertObj&amp;CertGrant=RIGHT(LEFT($A$2,7),2)&amp;LEFT($A$53,4)&amp;$B$54&amp;S$3,CertSalary))</f>
        <v>0</v>
      </c>
      <c r="T54" s="528">
        <f t="array" ref="T54">SUM(IF(CertFund&amp;CertProg&amp;CertObj&amp;CertGrant=RIGHT(LEFT($A$2,7),2)&amp;LEFT($A$53,4)&amp;$B$54&amp;T$3,CertSalary))</f>
        <v>0</v>
      </c>
      <c r="U54" s="528">
        <f t="array" ref="U54">SUM(IF(CertFund&amp;CertProg&amp;CertObj&amp;CertGrant=RIGHT(LEFT($A$2,7),2)&amp;LEFT($A$53,4)&amp;$B$54&amp;U$3,CertSalary))</f>
        <v>0</v>
      </c>
      <c r="V54" s="528">
        <f t="array" ref="V54">SUM(IF(CertFund&amp;CertProg&amp;CertObj&amp;CertGrant=RIGHT(LEFT($A$2,7),2)&amp;LEFT($A$53,4)&amp;$B$54&amp;V$3,CertSalary))</f>
        <v>0</v>
      </c>
      <c r="W54" s="528">
        <f t="array" ref="W54">SUM(IF(CertFund&amp;CertProg&amp;CertObj&amp;CertGrant=RIGHT(LEFT($A$2,7),2)&amp;LEFT($A$53,4)&amp;$B$54&amp;W$3,CertSalary))</f>
        <v>0</v>
      </c>
      <c r="X54" s="347">
        <f t="shared" ref="X54:X62" si="10">SUM(D54:W54)</f>
        <v>0</v>
      </c>
    </row>
    <row r="55" spans="1:24" ht="11.25" x14ac:dyDescent="0.2">
      <c r="A55" s="340" t="s">
        <v>1437</v>
      </c>
      <c r="B55" s="588" t="s">
        <v>1577</v>
      </c>
      <c r="C55" s="312" t="s">
        <v>510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7">
        <v>0</v>
      </c>
      <c r="V55" s="147">
        <v>0</v>
      </c>
      <c r="W55" s="147">
        <v>0</v>
      </c>
      <c r="X55" s="341">
        <f t="shared" si="10"/>
        <v>0</v>
      </c>
    </row>
    <row r="56" spans="1:24" ht="11.25" x14ac:dyDescent="0.2">
      <c r="A56" s="340">
        <v>6</v>
      </c>
      <c r="B56" s="588" t="s">
        <v>1578</v>
      </c>
      <c r="C56" s="312" t="s">
        <v>76</v>
      </c>
      <c r="D56" s="528">
        <f t="array" ref="D56">SUM(IF(CertFund&amp;CertProg&amp;CertObj&amp;CertGrant=RIGHT(LEFT($A$2,7),2)&amp;LEFT($A$53,4)&amp;$B$54&amp;D$3,CertBen))</f>
        <v>0</v>
      </c>
      <c r="E56" s="528">
        <f t="array" ref="E56">SUM(IF(CertFund&amp;CertProg&amp;CertObj&amp;CertGrant=RIGHT(LEFT($A$2,7),2)&amp;LEFT($A$53,4)&amp;$B$54&amp;E$3,CertBen))</f>
        <v>0</v>
      </c>
      <c r="F56" s="528">
        <f t="array" ref="F56">SUM(IF(CertFund&amp;CertProg&amp;CertObj&amp;CertGrant=RIGHT(LEFT($A$2,7),2)&amp;LEFT($A$53,4)&amp;$B$54&amp;F$3,CertBen))</f>
        <v>0</v>
      </c>
      <c r="G56" s="528">
        <f t="array" ref="G56">SUM(IF(CertFund&amp;CertProg&amp;CertObj&amp;CertGrant=RIGHT(LEFT($A$2,7),2)&amp;LEFT($A$53,4)&amp;$B$54&amp;G$3,CertBen))</f>
        <v>0</v>
      </c>
      <c r="H56" s="528">
        <f t="array" ref="H56">SUM(IF(CertFund&amp;CertProg&amp;CertObj&amp;CertGrant=RIGHT(LEFT($A$2,7),2)&amp;LEFT($A$53,4)&amp;$B$54&amp;H$3,CertBen))</f>
        <v>0</v>
      </c>
      <c r="I56" s="528">
        <f t="array" ref="I56">SUM(IF(CertFund&amp;CertProg&amp;CertObj&amp;CertGrant=RIGHT(LEFT($A$2,7),2)&amp;LEFT($A$53,4)&amp;$B$54&amp;I$3,CertBen))</f>
        <v>0</v>
      </c>
      <c r="J56" s="528">
        <f t="array" ref="J56">SUM(IF(CertFund&amp;CertProg&amp;CertObj&amp;CertGrant=RIGHT(LEFT($A$2,7),2)&amp;LEFT($A$53,4)&amp;$B$54&amp;J$3,CertBen))</f>
        <v>0</v>
      </c>
      <c r="K56" s="528">
        <f t="array" ref="K56">SUM(IF(CertFund&amp;CertProg&amp;CertObj&amp;CertGrant=RIGHT(LEFT($A$2,7),2)&amp;LEFT($A$53,4)&amp;$B$54&amp;K$3,CertBen))</f>
        <v>0</v>
      </c>
      <c r="L56" s="528">
        <f t="array" ref="L56">SUM(IF(CertFund&amp;CertProg&amp;CertObj&amp;CertGrant=RIGHT(LEFT($A$2,7),2)&amp;LEFT($A$53,4)&amp;$B$54&amp;L$3,CertBen))</f>
        <v>0</v>
      </c>
      <c r="M56" s="528">
        <f t="array" ref="M56">SUM(IF(CertFund&amp;CertProg&amp;CertObj&amp;CertGrant=RIGHT(LEFT($A$2,7),2)&amp;LEFT($A$53,4)&amp;$B$54&amp;M$3,CertBen))</f>
        <v>0</v>
      </c>
      <c r="N56" s="528">
        <f t="array" ref="N56">SUM(IF(CertFund&amp;CertProg&amp;CertObj&amp;CertGrant=RIGHT(LEFT($A$2,7),2)&amp;LEFT($A$53,4)&amp;$B$54&amp;N$3,CertBen))</f>
        <v>0</v>
      </c>
      <c r="O56" s="528">
        <f t="array" ref="O56">SUM(IF(CertFund&amp;CertProg&amp;CertObj&amp;CertGrant=RIGHT(LEFT($A$2,7),2)&amp;LEFT($A$53,4)&amp;$B$54&amp;O$3,CertBen))</f>
        <v>0</v>
      </c>
      <c r="P56" s="528">
        <f t="array" ref="P56">SUM(IF(CertFund&amp;CertProg&amp;CertObj&amp;CertGrant=RIGHT(LEFT($A$2,7),2)&amp;LEFT($A$53,4)&amp;$B$54&amp;P$3,CertBen))</f>
        <v>0</v>
      </c>
      <c r="Q56" s="528">
        <f t="array" ref="Q56">SUM(IF(CertFund&amp;CertProg&amp;CertObj&amp;CertGrant=RIGHT(LEFT($A$2,7),2)&amp;LEFT($A$53,4)&amp;$B$54&amp;Q$3,CertBen))</f>
        <v>0</v>
      </c>
      <c r="R56" s="528">
        <f t="array" ref="R56">SUM(IF(CertFund&amp;CertProg&amp;CertObj&amp;CertGrant=RIGHT(LEFT($A$2,7),2)&amp;LEFT($A$53,4)&amp;$B$54&amp;R$3,CertBen))</f>
        <v>0</v>
      </c>
      <c r="S56" s="528">
        <f t="array" ref="S56">SUM(IF(CertFund&amp;CertProg&amp;CertObj&amp;CertGrant=RIGHT(LEFT($A$2,7),2)&amp;LEFT($A$53,4)&amp;$B$54&amp;S$3,CertBen))</f>
        <v>0</v>
      </c>
      <c r="T56" s="528">
        <f t="array" ref="T56">SUM(IF(CertFund&amp;CertProg&amp;CertObj&amp;CertGrant=RIGHT(LEFT($A$2,7),2)&amp;LEFT($A$53,4)&amp;$B$54&amp;T$3,CertBen))</f>
        <v>0</v>
      </c>
      <c r="U56" s="528">
        <f t="array" ref="U56">SUM(IF(CertFund&amp;CertProg&amp;CertObj&amp;CertGrant=RIGHT(LEFT($A$2,7),2)&amp;LEFT($A$53,4)&amp;$B$54&amp;U$3,CertBen))</f>
        <v>0</v>
      </c>
      <c r="V56" s="528">
        <f t="array" ref="V56">SUM(IF(CertFund&amp;CertProg&amp;CertObj&amp;CertGrant=RIGHT(LEFT($A$2,7),2)&amp;LEFT($A$53,4)&amp;$B$54&amp;V$3,CertBen))</f>
        <v>0</v>
      </c>
      <c r="W56" s="528">
        <f t="array" ref="W56">SUM(IF(CertFund&amp;CertProg&amp;CertObj&amp;CertGrant=RIGHT(LEFT($A$2,7),2)&amp;LEFT($A$53,4)&amp;$B$54&amp;W$3,CertBen))</f>
        <v>0</v>
      </c>
      <c r="X56" s="341">
        <f t="shared" si="10"/>
        <v>0</v>
      </c>
    </row>
    <row r="57" spans="1:24" ht="11.25" x14ac:dyDescent="0.2">
      <c r="A57" s="340" t="s">
        <v>1438</v>
      </c>
      <c r="B57" s="588" t="s">
        <v>1578</v>
      </c>
      <c r="C57" s="312" t="s">
        <v>511</v>
      </c>
      <c r="D57" s="590">
        <v>0</v>
      </c>
      <c r="E57" s="590">
        <v>0</v>
      </c>
      <c r="F57" s="590">
        <v>0</v>
      </c>
      <c r="G57" s="590">
        <v>0</v>
      </c>
      <c r="H57" s="590">
        <v>0</v>
      </c>
      <c r="I57" s="590">
        <v>0</v>
      </c>
      <c r="J57" s="590">
        <v>0</v>
      </c>
      <c r="K57" s="590">
        <v>0</v>
      </c>
      <c r="L57" s="590">
        <v>0</v>
      </c>
      <c r="M57" s="590">
        <v>0</v>
      </c>
      <c r="N57" s="590">
        <v>0</v>
      </c>
      <c r="O57" s="590">
        <v>0</v>
      </c>
      <c r="P57" s="590">
        <v>0</v>
      </c>
      <c r="Q57" s="590">
        <v>0</v>
      </c>
      <c r="R57" s="590">
        <v>0</v>
      </c>
      <c r="S57" s="590">
        <v>0</v>
      </c>
      <c r="T57" s="590">
        <v>0</v>
      </c>
      <c r="U57" s="590">
        <v>0</v>
      </c>
      <c r="V57" s="590">
        <v>0</v>
      </c>
      <c r="W57" s="590">
        <v>0</v>
      </c>
      <c r="X57" s="341">
        <f t="shared" si="10"/>
        <v>0</v>
      </c>
    </row>
    <row r="58" spans="1:24" ht="11.25" x14ac:dyDescent="0.2">
      <c r="A58" s="340">
        <v>7</v>
      </c>
      <c r="B58" s="188" t="s">
        <v>1579</v>
      </c>
      <c r="C58" s="329" t="s">
        <v>273</v>
      </c>
      <c r="D58" s="590">
        <v>0</v>
      </c>
      <c r="E58" s="590">
        <v>0</v>
      </c>
      <c r="F58" s="590">
        <v>0</v>
      </c>
      <c r="G58" s="590">
        <v>0</v>
      </c>
      <c r="H58" s="590">
        <v>0</v>
      </c>
      <c r="I58" s="590">
        <v>0</v>
      </c>
      <c r="J58" s="590">
        <v>0</v>
      </c>
      <c r="K58" s="590">
        <v>0</v>
      </c>
      <c r="L58" s="591">
        <v>0</v>
      </c>
      <c r="M58" s="591">
        <v>0</v>
      </c>
      <c r="N58" s="591">
        <v>0</v>
      </c>
      <c r="O58" s="591">
        <v>0</v>
      </c>
      <c r="P58" s="591">
        <v>0</v>
      </c>
      <c r="Q58" s="591">
        <v>0</v>
      </c>
      <c r="R58" s="591">
        <v>0</v>
      </c>
      <c r="S58" s="591">
        <v>0</v>
      </c>
      <c r="T58" s="591">
        <v>0</v>
      </c>
      <c r="U58" s="591">
        <v>0</v>
      </c>
      <c r="V58" s="591">
        <v>0</v>
      </c>
      <c r="W58" s="591">
        <v>0</v>
      </c>
      <c r="X58" s="341">
        <f t="shared" si="10"/>
        <v>0</v>
      </c>
    </row>
    <row r="59" spans="1:24" ht="11.25" x14ac:dyDescent="0.2">
      <c r="A59" s="340">
        <v>8</v>
      </c>
      <c r="B59" s="188" t="s">
        <v>1581</v>
      </c>
      <c r="C59" s="329" t="s">
        <v>274</v>
      </c>
      <c r="D59" s="590">
        <v>0</v>
      </c>
      <c r="E59" s="590">
        <v>0</v>
      </c>
      <c r="F59" s="590">
        <v>0</v>
      </c>
      <c r="G59" s="590">
        <v>0</v>
      </c>
      <c r="H59" s="590">
        <v>0</v>
      </c>
      <c r="I59" s="590">
        <v>0</v>
      </c>
      <c r="J59" s="590">
        <v>0</v>
      </c>
      <c r="K59" s="590">
        <v>0</v>
      </c>
      <c r="L59" s="591">
        <v>0</v>
      </c>
      <c r="M59" s="591">
        <v>0</v>
      </c>
      <c r="N59" s="591">
        <v>0</v>
      </c>
      <c r="O59" s="591">
        <v>0</v>
      </c>
      <c r="P59" s="591">
        <v>0</v>
      </c>
      <c r="Q59" s="591">
        <v>0</v>
      </c>
      <c r="R59" s="591">
        <v>0</v>
      </c>
      <c r="S59" s="591">
        <v>0</v>
      </c>
      <c r="T59" s="591">
        <v>0</v>
      </c>
      <c r="U59" s="591">
        <v>0</v>
      </c>
      <c r="V59" s="591">
        <v>0</v>
      </c>
      <c r="W59" s="591">
        <v>0</v>
      </c>
      <c r="X59" s="341">
        <f t="shared" si="10"/>
        <v>0</v>
      </c>
    </row>
    <row r="60" spans="1:24" ht="11.25" x14ac:dyDescent="0.2">
      <c r="A60" s="340">
        <v>9</v>
      </c>
      <c r="B60" s="188" t="s">
        <v>1582</v>
      </c>
      <c r="C60" s="329" t="s">
        <v>275</v>
      </c>
      <c r="D60" s="590">
        <v>0</v>
      </c>
      <c r="E60" s="590">
        <v>0</v>
      </c>
      <c r="F60" s="590">
        <v>0</v>
      </c>
      <c r="G60" s="590">
        <v>0</v>
      </c>
      <c r="H60" s="590">
        <v>0</v>
      </c>
      <c r="I60" s="590">
        <v>0</v>
      </c>
      <c r="J60" s="590">
        <v>0</v>
      </c>
      <c r="K60" s="590">
        <v>0</v>
      </c>
      <c r="L60" s="591">
        <v>0</v>
      </c>
      <c r="M60" s="591">
        <v>0</v>
      </c>
      <c r="N60" s="591">
        <v>0</v>
      </c>
      <c r="O60" s="591">
        <v>0</v>
      </c>
      <c r="P60" s="591">
        <v>0</v>
      </c>
      <c r="Q60" s="591">
        <v>0</v>
      </c>
      <c r="R60" s="591">
        <v>0</v>
      </c>
      <c r="S60" s="591">
        <v>0</v>
      </c>
      <c r="T60" s="591">
        <v>0</v>
      </c>
      <c r="U60" s="591">
        <v>0</v>
      </c>
      <c r="V60" s="591">
        <v>0</v>
      </c>
      <c r="W60" s="591">
        <v>0</v>
      </c>
      <c r="X60" s="341">
        <f t="shared" si="10"/>
        <v>0</v>
      </c>
    </row>
    <row r="61" spans="1:24" ht="11.25" x14ac:dyDescent="0.2">
      <c r="A61" s="350">
        <v>10</v>
      </c>
      <c r="B61" s="188" t="s">
        <v>1584</v>
      </c>
      <c r="C61" s="327" t="s">
        <v>276</v>
      </c>
      <c r="D61" s="590">
        <v>0</v>
      </c>
      <c r="E61" s="590">
        <v>0</v>
      </c>
      <c r="F61" s="590">
        <v>0</v>
      </c>
      <c r="G61" s="590">
        <v>0</v>
      </c>
      <c r="H61" s="590">
        <v>0</v>
      </c>
      <c r="I61" s="590">
        <v>0</v>
      </c>
      <c r="J61" s="590">
        <v>0</v>
      </c>
      <c r="K61" s="590">
        <v>0</v>
      </c>
      <c r="L61" s="591">
        <v>0</v>
      </c>
      <c r="M61" s="591">
        <v>0</v>
      </c>
      <c r="N61" s="591">
        <v>0</v>
      </c>
      <c r="O61" s="591">
        <v>0</v>
      </c>
      <c r="P61" s="591">
        <v>0</v>
      </c>
      <c r="Q61" s="591">
        <v>0</v>
      </c>
      <c r="R61" s="591">
        <v>0</v>
      </c>
      <c r="S61" s="591">
        <v>0</v>
      </c>
      <c r="T61" s="591">
        <v>0</v>
      </c>
      <c r="U61" s="591">
        <v>0</v>
      </c>
      <c r="V61" s="591">
        <v>0</v>
      </c>
      <c r="W61" s="591">
        <v>0</v>
      </c>
      <c r="X61" s="341">
        <f t="shared" si="10"/>
        <v>0</v>
      </c>
    </row>
    <row r="62" spans="1:24" ht="11.25" x14ac:dyDescent="0.2">
      <c r="A62" s="340">
        <v>11</v>
      </c>
      <c r="C62" s="346" t="s">
        <v>1630</v>
      </c>
      <c r="D62" s="347">
        <f>SUM(D54:D61)</f>
        <v>0</v>
      </c>
      <c r="E62" s="347">
        <f t="shared" ref="E62:W62" si="11">SUM(E54:E61)</f>
        <v>0</v>
      </c>
      <c r="F62" s="347">
        <f t="shared" si="11"/>
        <v>0</v>
      </c>
      <c r="G62" s="347">
        <f t="shared" si="11"/>
        <v>0</v>
      </c>
      <c r="H62" s="347">
        <f t="shared" si="11"/>
        <v>0</v>
      </c>
      <c r="I62" s="347">
        <f t="shared" si="11"/>
        <v>0</v>
      </c>
      <c r="J62" s="347">
        <f t="shared" si="11"/>
        <v>0</v>
      </c>
      <c r="K62" s="347">
        <f t="shared" si="11"/>
        <v>0</v>
      </c>
      <c r="L62" s="347">
        <f t="shared" si="11"/>
        <v>0</v>
      </c>
      <c r="M62" s="347">
        <f t="shared" si="11"/>
        <v>0</v>
      </c>
      <c r="N62" s="347">
        <f t="shared" si="11"/>
        <v>0</v>
      </c>
      <c r="O62" s="347">
        <f t="shared" si="11"/>
        <v>0</v>
      </c>
      <c r="P62" s="347">
        <f t="shared" si="11"/>
        <v>0</v>
      </c>
      <c r="Q62" s="347">
        <f t="shared" si="11"/>
        <v>0</v>
      </c>
      <c r="R62" s="347">
        <f t="shared" si="11"/>
        <v>0</v>
      </c>
      <c r="S62" s="347">
        <f t="shared" si="11"/>
        <v>0</v>
      </c>
      <c r="T62" s="347">
        <f t="shared" si="11"/>
        <v>0</v>
      </c>
      <c r="U62" s="347">
        <f t="shared" si="11"/>
        <v>0</v>
      </c>
      <c r="V62" s="347">
        <f t="shared" si="11"/>
        <v>0</v>
      </c>
      <c r="W62" s="347">
        <f t="shared" si="11"/>
        <v>0</v>
      </c>
      <c r="X62" s="341">
        <f t="shared" si="10"/>
        <v>0</v>
      </c>
    </row>
    <row r="63" spans="1:24" ht="11.25" x14ac:dyDescent="0.2">
      <c r="A63" s="370" t="s">
        <v>641</v>
      </c>
      <c r="B63" s="369"/>
      <c r="C63" s="348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</row>
    <row r="64" spans="1:24" ht="11.25" x14ac:dyDescent="0.2">
      <c r="A64" s="370" t="s">
        <v>642</v>
      </c>
      <c r="B64" s="369"/>
      <c r="C64" s="348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</row>
    <row r="65" spans="1:24" ht="11.25" x14ac:dyDescent="0.2">
      <c r="A65" s="370" t="s">
        <v>656</v>
      </c>
      <c r="B65" s="369"/>
      <c r="C65" s="348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</row>
    <row r="66" spans="1:24" ht="11.25" x14ac:dyDescent="0.2">
      <c r="A66" s="370" t="s">
        <v>658</v>
      </c>
      <c r="B66" s="369"/>
      <c r="C66" s="348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</row>
    <row r="67" spans="1:24" ht="11.25" x14ac:dyDescent="0.2">
      <c r="A67" s="370" t="s">
        <v>660</v>
      </c>
      <c r="B67" s="369"/>
      <c r="C67" s="348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</row>
    <row r="68" spans="1:24" ht="11.25" x14ac:dyDescent="0.2">
      <c r="A68" s="370" t="s">
        <v>662</v>
      </c>
      <c r="B68" s="369"/>
      <c r="C68" s="348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</row>
    <row r="69" spans="1:24" ht="11.25" x14ac:dyDescent="0.2">
      <c r="A69" s="370" t="s">
        <v>667</v>
      </c>
      <c r="B69" s="369"/>
      <c r="C69" s="348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</row>
    <row r="70" spans="1:24" ht="11.25" x14ac:dyDescent="0.2">
      <c r="A70" s="340">
        <v>12</v>
      </c>
      <c r="B70" s="588" t="s">
        <v>1577</v>
      </c>
      <c r="C70" s="312" t="s">
        <v>228</v>
      </c>
      <c r="D70" s="528">
        <f t="array" ref="D70">SUM(IF(CertFund&amp;CertProg&amp;CertObj&amp;CertGrant=RIGHT(LEFT($A$2,7),2)&amp;LEFT($A$63,4)&amp;$B$70&amp;D$3,CertSalary))+SUM(IF(CertFund&amp;CertProg&amp;CertObj&amp;CertGrant=RIGHT(LEFT($A$2,7),2)&amp;LEFT($A$64,4)&amp;$B$70&amp;D$3,CertSalary))+SUM(IF(CertFund&amp;CertProg&amp;CertObj&amp;CertGrant=RIGHT(LEFT($A$2,7),2)&amp;LEFT($A$65,4)&amp;$B$70&amp;D$3,CertSalary))+SUM(IF(CertFund&amp;CertProg&amp;CertObj&amp;CertGrant=RIGHT(LEFT($A$2,7),2)&amp;LEFT($A$66,4)&amp;$B$70&amp;D$3,CertSalary))+SUM(IF(CertFund&amp;CertProg&amp;CertObj&amp;CertGrant=RIGHT(LEFT($A$2,7),2)&amp;LEFT($A$67,4)&amp;$B$70&amp;D$3,CertSalary))+SUM(IF(CertFund&amp;CertProg&amp;CertObj&amp;CertGrant=RIGHT(LEFT($A$2,7),2)&amp;LEFT($A$68,4)&amp;$B$70&amp;D$3,CertSalary))+SUM(IF(CertFund&amp;CertProg&amp;CertObj&amp;CertGrant=RIGHT(LEFT($A$2,7),2)&amp;LEFT($A$69,4)&amp;$B$70&amp;D$3,CertSalary))</f>
        <v>0</v>
      </c>
      <c r="E70" s="528">
        <f t="array" ref="E70">SUM(IF(CertFund&amp;CertProg&amp;CertObj&amp;CertGrant=RIGHT(LEFT($A$2,7),2)&amp;LEFT($A$63,4)&amp;$B$70&amp;E$3,CertSalary))+SUM(IF(CertFund&amp;CertProg&amp;CertObj&amp;CertGrant=RIGHT(LEFT($A$2,7),2)&amp;LEFT($A$64,4)&amp;$B$70&amp;E$3,CertSalary))+SUM(IF(CertFund&amp;CertProg&amp;CertObj&amp;CertGrant=RIGHT(LEFT($A$2,7),2)&amp;LEFT($A$65,4)&amp;$B$70&amp;E$3,CertSalary))+SUM(IF(CertFund&amp;CertProg&amp;CertObj&amp;CertGrant=RIGHT(LEFT($A$2,7),2)&amp;LEFT($A$66,4)&amp;$B$70&amp;E$3,CertSalary))+SUM(IF(CertFund&amp;CertProg&amp;CertObj&amp;CertGrant=RIGHT(LEFT($A$2,7),2)&amp;LEFT($A$67,4)&amp;$B$70&amp;E$3,CertSalary))+SUM(IF(CertFund&amp;CertProg&amp;CertObj&amp;CertGrant=RIGHT(LEFT($A$2,7),2)&amp;LEFT($A$68,4)&amp;$B$70&amp;E$3,CertSalary))+SUM(IF(CertFund&amp;CertProg&amp;CertObj&amp;CertGrant=RIGHT(LEFT($A$2,7),2)&amp;LEFT($A$69,4)&amp;$B$70&amp;E$3,CertSalary))</f>
        <v>0</v>
      </c>
      <c r="F70" s="528">
        <f t="array" ref="F70">SUM(IF(CertFund&amp;CertProg&amp;CertObj&amp;CertGrant=RIGHT(LEFT($A$2,7),2)&amp;LEFT($A$63,4)&amp;$B$70&amp;F$3,CertSalary))+SUM(IF(CertFund&amp;CertProg&amp;CertObj&amp;CertGrant=RIGHT(LEFT($A$2,7),2)&amp;LEFT($A$64,4)&amp;$B$70&amp;F$3,CertSalary))+SUM(IF(CertFund&amp;CertProg&amp;CertObj&amp;CertGrant=RIGHT(LEFT($A$2,7),2)&amp;LEFT($A$65,4)&amp;$B$70&amp;F$3,CertSalary))+SUM(IF(CertFund&amp;CertProg&amp;CertObj&amp;CertGrant=RIGHT(LEFT($A$2,7),2)&amp;LEFT($A$66,4)&amp;$B$70&amp;F$3,CertSalary))+SUM(IF(CertFund&amp;CertProg&amp;CertObj&amp;CertGrant=RIGHT(LEFT($A$2,7),2)&amp;LEFT($A$67,4)&amp;$B$70&amp;F$3,CertSalary))+SUM(IF(CertFund&amp;CertProg&amp;CertObj&amp;CertGrant=RIGHT(LEFT($A$2,7),2)&amp;LEFT($A$68,4)&amp;$B$70&amp;F$3,CertSalary))+SUM(IF(CertFund&amp;CertProg&amp;CertObj&amp;CertGrant=RIGHT(LEFT($A$2,7),2)&amp;LEFT($A$69,4)&amp;$B$70&amp;F$3,CertSalary))</f>
        <v>0</v>
      </c>
      <c r="G70" s="528">
        <f t="array" ref="G70">SUM(IF(CertFund&amp;CertProg&amp;CertObj&amp;CertGrant=RIGHT(LEFT($A$2,7),2)&amp;LEFT($A$63,4)&amp;$B$70&amp;G$3,CertSalary))+SUM(IF(CertFund&amp;CertProg&amp;CertObj&amp;CertGrant=RIGHT(LEFT($A$2,7),2)&amp;LEFT($A$64,4)&amp;$B$70&amp;G$3,CertSalary))+SUM(IF(CertFund&amp;CertProg&amp;CertObj&amp;CertGrant=RIGHT(LEFT($A$2,7),2)&amp;LEFT($A$65,4)&amp;$B$70&amp;G$3,CertSalary))+SUM(IF(CertFund&amp;CertProg&amp;CertObj&amp;CertGrant=RIGHT(LEFT($A$2,7),2)&amp;LEFT($A$66,4)&amp;$B$70&amp;G$3,CertSalary))+SUM(IF(CertFund&amp;CertProg&amp;CertObj&amp;CertGrant=RIGHT(LEFT($A$2,7),2)&amp;LEFT($A$67,4)&amp;$B$70&amp;G$3,CertSalary))+SUM(IF(CertFund&amp;CertProg&amp;CertObj&amp;CertGrant=RIGHT(LEFT($A$2,7),2)&amp;LEFT($A$68,4)&amp;$B$70&amp;G$3,CertSalary))+SUM(IF(CertFund&amp;CertProg&amp;CertObj&amp;CertGrant=RIGHT(LEFT($A$2,7),2)&amp;LEFT($A$69,4)&amp;$B$70&amp;G$3,CertSalary))</f>
        <v>0</v>
      </c>
      <c r="H70" s="528">
        <f t="array" ref="H70">SUM(IF(CertFund&amp;CertProg&amp;CertObj&amp;CertGrant=RIGHT(LEFT($A$2,7),2)&amp;LEFT($A$63,4)&amp;$B$70&amp;H$3,CertSalary))+SUM(IF(CertFund&amp;CertProg&amp;CertObj&amp;CertGrant=RIGHT(LEFT($A$2,7),2)&amp;LEFT($A$64,4)&amp;$B$70&amp;H$3,CertSalary))+SUM(IF(CertFund&amp;CertProg&amp;CertObj&amp;CertGrant=RIGHT(LEFT($A$2,7),2)&amp;LEFT($A$65,4)&amp;$B$70&amp;H$3,CertSalary))+SUM(IF(CertFund&amp;CertProg&amp;CertObj&amp;CertGrant=RIGHT(LEFT($A$2,7),2)&amp;LEFT($A$66,4)&amp;$B$70&amp;H$3,CertSalary))+SUM(IF(CertFund&amp;CertProg&amp;CertObj&amp;CertGrant=RIGHT(LEFT($A$2,7),2)&amp;LEFT($A$67,4)&amp;$B$70&amp;H$3,CertSalary))+SUM(IF(CertFund&amp;CertProg&amp;CertObj&amp;CertGrant=RIGHT(LEFT($A$2,7),2)&amp;LEFT($A$68,4)&amp;$B$70&amp;H$3,CertSalary))+SUM(IF(CertFund&amp;CertProg&amp;CertObj&amp;CertGrant=RIGHT(LEFT($A$2,7),2)&amp;LEFT($A$69,4)&amp;$B$70&amp;H$3,CertSalary))</f>
        <v>0</v>
      </c>
      <c r="I70" s="528">
        <f t="array" ref="I70">SUM(IF(CertFund&amp;CertProg&amp;CertObj&amp;CertGrant=RIGHT(LEFT($A$2,7),2)&amp;LEFT($A$63,4)&amp;$B$70&amp;I$3,CertSalary))+SUM(IF(CertFund&amp;CertProg&amp;CertObj&amp;CertGrant=RIGHT(LEFT($A$2,7),2)&amp;LEFT($A$64,4)&amp;$B$70&amp;I$3,CertSalary))+SUM(IF(CertFund&amp;CertProg&amp;CertObj&amp;CertGrant=RIGHT(LEFT($A$2,7),2)&amp;LEFT($A$65,4)&amp;$B$70&amp;I$3,CertSalary))+SUM(IF(CertFund&amp;CertProg&amp;CertObj&amp;CertGrant=RIGHT(LEFT($A$2,7),2)&amp;LEFT($A$66,4)&amp;$B$70&amp;I$3,CertSalary))+SUM(IF(CertFund&amp;CertProg&amp;CertObj&amp;CertGrant=RIGHT(LEFT($A$2,7),2)&amp;LEFT($A$67,4)&amp;$B$70&amp;I$3,CertSalary))+SUM(IF(CertFund&amp;CertProg&amp;CertObj&amp;CertGrant=RIGHT(LEFT($A$2,7),2)&amp;LEFT($A$68,4)&amp;$B$70&amp;I$3,CertSalary))+SUM(IF(CertFund&amp;CertProg&amp;CertObj&amp;CertGrant=RIGHT(LEFT($A$2,7),2)&amp;LEFT($A$69,4)&amp;$B$70&amp;I$3,CertSalary))</f>
        <v>0</v>
      </c>
      <c r="J70" s="528">
        <f t="array" ref="J70">SUM(IF(CertFund&amp;CertProg&amp;CertObj&amp;CertGrant=RIGHT(LEFT($A$2,7),2)&amp;LEFT($A$63,4)&amp;$B$70&amp;J$3,CertSalary))+SUM(IF(CertFund&amp;CertProg&amp;CertObj&amp;CertGrant=RIGHT(LEFT($A$2,7),2)&amp;LEFT($A$64,4)&amp;$B$70&amp;J$3,CertSalary))+SUM(IF(CertFund&amp;CertProg&amp;CertObj&amp;CertGrant=RIGHT(LEFT($A$2,7),2)&amp;LEFT($A$65,4)&amp;$B$70&amp;J$3,CertSalary))+SUM(IF(CertFund&amp;CertProg&amp;CertObj&amp;CertGrant=RIGHT(LEFT($A$2,7),2)&amp;LEFT($A$66,4)&amp;$B$70&amp;J$3,CertSalary))+SUM(IF(CertFund&amp;CertProg&amp;CertObj&amp;CertGrant=RIGHT(LEFT($A$2,7),2)&amp;LEFT($A$67,4)&amp;$B$70&amp;J$3,CertSalary))+SUM(IF(CertFund&amp;CertProg&amp;CertObj&amp;CertGrant=RIGHT(LEFT($A$2,7),2)&amp;LEFT($A$68,4)&amp;$B$70&amp;J$3,CertSalary))+SUM(IF(CertFund&amp;CertProg&amp;CertObj&amp;CertGrant=RIGHT(LEFT($A$2,7),2)&amp;LEFT($A$69,4)&amp;$B$70&amp;J$3,CertSalary))</f>
        <v>0</v>
      </c>
      <c r="K70" s="528">
        <f t="array" ref="K70">SUM(IF(CertFund&amp;CertProg&amp;CertObj&amp;CertGrant=RIGHT(LEFT($A$2,7),2)&amp;LEFT($A$63,4)&amp;$B$70&amp;K$3,CertSalary))+SUM(IF(CertFund&amp;CertProg&amp;CertObj&amp;CertGrant=RIGHT(LEFT($A$2,7),2)&amp;LEFT($A$64,4)&amp;$B$70&amp;K$3,CertSalary))+SUM(IF(CertFund&amp;CertProg&amp;CertObj&amp;CertGrant=RIGHT(LEFT($A$2,7),2)&amp;LEFT($A$65,4)&amp;$B$70&amp;K$3,CertSalary))+SUM(IF(CertFund&amp;CertProg&amp;CertObj&amp;CertGrant=RIGHT(LEFT($A$2,7),2)&amp;LEFT($A$66,4)&amp;$B$70&amp;K$3,CertSalary))+SUM(IF(CertFund&amp;CertProg&amp;CertObj&amp;CertGrant=RIGHT(LEFT($A$2,7),2)&amp;LEFT($A$67,4)&amp;$B$70&amp;K$3,CertSalary))+SUM(IF(CertFund&amp;CertProg&amp;CertObj&amp;CertGrant=RIGHT(LEFT($A$2,7),2)&amp;LEFT($A$68,4)&amp;$B$70&amp;K$3,CertSalary))+SUM(IF(CertFund&amp;CertProg&amp;CertObj&amp;CertGrant=RIGHT(LEFT($A$2,7),2)&amp;LEFT($A$69,4)&amp;$B$70&amp;K$3,CertSalary))</f>
        <v>0</v>
      </c>
      <c r="L70" s="528">
        <f t="array" ref="L70">SUM(IF(CertFund&amp;CertProg&amp;CertObj&amp;CertGrant=RIGHT(LEFT($A$2,7),2)&amp;LEFT($A$63,4)&amp;$B$70&amp;L$3,CertSalary))+SUM(IF(CertFund&amp;CertProg&amp;CertObj&amp;CertGrant=RIGHT(LEFT($A$2,7),2)&amp;LEFT($A$64,4)&amp;$B$70&amp;L$3,CertSalary))+SUM(IF(CertFund&amp;CertProg&amp;CertObj&amp;CertGrant=RIGHT(LEFT($A$2,7),2)&amp;LEFT($A$65,4)&amp;$B$70&amp;L$3,CertSalary))+SUM(IF(CertFund&amp;CertProg&amp;CertObj&amp;CertGrant=RIGHT(LEFT($A$2,7),2)&amp;LEFT($A$66,4)&amp;$B$70&amp;L$3,CertSalary))+SUM(IF(CertFund&amp;CertProg&amp;CertObj&amp;CertGrant=RIGHT(LEFT($A$2,7),2)&amp;LEFT($A$67,4)&amp;$B$70&amp;L$3,CertSalary))+SUM(IF(CertFund&amp;CertProg&amp;CertObj&amp;CertGrant=RIGHT(LEFT($A$2,7),2)&amp;LEFT($A$68,4)&amp;$B$70&amp;L$3,CertSalary))+SUM(IF(CertFund&amp;CertProg&amp;CertObj&amp;CertGrant=RIGHT(LEFT($A$2,7),2)&amp;LEFT($A$69,4)&amp;$B$70&amp;L$3,CertSalary))</f>
        <v>0</v>
      </c>
      <c r="M70" s="528">
        <f t="array" ref="M70">SUM(IF(CertFund&amp;CertProg&amp;CertObj&amp;CertGrant=RIGHT(LEFT($A$2,7),2)&amp;LEFT($A$63,4)&amp;$B$70&amp;M$3,CertSalary))+SUM(IF(CertFund&amp;CertProg&amp;CertObj&amp;CertGrant=RIGHT(LEFT($A$2,7),2)&amp;LEFT($A$64,4)&amp;$B$70&amp;M$3,CertSalary))+SUM(IF(CertFund&amp;CertProg&amp;CertObj&amp;CertGrant=RIGHT(LEFT($A$2,7),2)&amp;LEFT($A$65,4)&amp;$B$70&amp;M$3,CertSalary))+SUM(IF(CertFund&amp;CertProg&amp;CertObj&amp;CertGrant=RIGHT(LEFT($A$2,7),2)&amp;LEFT($A$66,4)&amp;$B$70&amp;M$3,CertSalary))+SUM(IF(CertFund&amp;CertProg&amp;CertObj&amp;CertGrant=RIGHT(LEFT($A$2,7),2)&amp;LEFT($A$67,4)&amp;$B$70&amp;M$3,CertSalary))+SUM(IF(CertFund&amp;CertProg&amp;CertObj&amp;CertGrant=RIGHT(LEFT($A$2,7),2)&amp;LEFT($A$68,4)&amp;$B$70&amp;M$3,CertSalary))+SUM(IF(CertFund&amp;CertProg&amp;CertObj&amp;CertGrant=RIGHT(LEFT($A$2,7),2)&amp;LEFT($A$69,4)&amp;$B$70&amp;M$3,CertSalary))</f>
        <v>0</v>
      </c>
      <c r="N70" s="528">
        <f t="array" ref="N70">SUM(IF(CertFund&amp;CertProg&amp;CertObj&amp;CertGrant=RIGHT(LEFT($A$2,7),2)&amp;LEFT($A$63,4)&amp;$B$70&amp;N$3,CertSalary))+SUM(IF(CertFund&amp;CertProg&amp;CertObj&amp;CertGrant=RIGHT(LEFT($A$2,7),2)&amp;LEFT($A$64,4)&amp;$B$70&amp;N$3,CertSalary))+SUM(IF(CertFund&amp;CertProg&amp;CertObj&amp;CertGrant=RIGHT(LEFT($A$2,7),2)&amp;LEFT($A$65,4)&amp;$B$70&amp;N$3,CertSalary))+SUM(IF(CertFund&amp;CertProg&amp;CertObj&amp;CertGrant=RIGHT(LEFT($A$2,7),2)&amp;LEFT($A$66,4)&amp;$B$70&amp;N$3,CertSalary))+SUM(IF(CertFund&amp;CertProg&amp;CertObj&amp;CertGrant=RIGHT(LEFT($A$2,7),2)&amp;LEFT($A$67,4)&amp;$B$70&amp;N$3,CertSalary))+SUM(IF(CertFund&amp;CertProg&amp;CertObj&amp;CertGrant=RIGHT(LEFT($A$2,7),2)&amp;LEFT($A$68,4)&amp;$B$70&amp;N$3,CertSalary))+SUM(IF(CertFund&amp;CertProg&amp;CertObj&amp;CertGrant=RIGHT(LEFT($A$2,7),2)&amp;LEFT($A$69,4)&amp;$B$70&amp;N$3,CertSalary))</f>
        <v>0</v>
      </c>
      <c r="O70" s="528">
        <f t="array" ref="O70">SUM(IF(CertFund&amp;CertProg&amp;CertObj&amp;CertGrant=RIGHT(LEFT($A$2,7),2)&amp;LEFT($A$63,4)&amp;$B$70&amp;O$3,CertSalary))+SUM(IF(CertFund&amp;CertProg&amp;CertObj&amp;CertGrant=RIGHT(LEFT($A$2,7),2)&amp;LEFT($A$64,4)&amp;$B$70&amp;O$3,CertSalary))+SUM(IF(CertFund&amp;CertProg&amp;CertObj&amp;CertGrant=RIGHT(LEFT($A$2,7),2)&amp;LEFT($A$65,4)&amp;$B$70&amp;O$3,CertSalary))+SUM(IF(CertFund&amp;CertProg&amp;CertObj&amp;CertGrant=RIGHT(LEFT($A$2,7),2)&amp;LEFT($A$66,4)&amp;$B$70&amp;O$3,CertSalary))+SUM(IF(CertFund&amp;CertProg&amp;CertObj&amp;CertGrant=RIGHT(LEFT($A$2,7),2)&amp;LEFT($A$67,4)&amp;$B$70&amp;O$3,CertSalary))+SUM(IF(CertFund&amp;CertProg&amp;CertObj&amp;CertGrant=RIGHT(LEFT($A$2,7),2)&amp;LEFT($A$68,4)&amp;$B$70&amp;O$3,CertSalary))+SUM(IF(CertFund&amp;CertProg&amp;CertObj&amp;CertGrant=RIGHT(LEFT($A$2,7),2)&amp;LEFT($A$69,4)&amp;$B$70&amp;O$3,CertSalary))</f>
        <v>0</v>
      </c>
      <c r="P70" s="528">
        <f t="array" ref="P70">SUM(IF(CertFund&amp;CertProg&amp;CertObj&amp;CertGrant=RIGHT(LEFT($A$2,7),2)&amp;LEFT($A$63,4)&amp;$B$70&amp;P$3,CertSalary))+SUM(IF(CertFund&amp;CertProg&amp;CertObj&amp;CertGrant=RIGHT(LEFT($A$2,7),2)&amp;LEFT($A$64,4)&amp;$B$70&amp;P$3,CertSalary))+SUM(IF(CertFund&amp;CertProg&amp;CertObj&amp;CertGrant=RIGHT(LEFT($A$2,7),2)&amp;LEFT($A$65,4)&amp;$B$70&amp;P$3,CertSalary))+SUM(IF(CertFund&amp;CertProg&amp;CertObj&amp;CertGrant=RIGHT(LEFT($A$2,7),2)&amp;LEFT($A$66,4)&amp;$B$70&amp;P$3,CertSalary))+SUM(IF(CertFund&amp;CertProg&amp;CertObj&amp;CertGrant=RIGHT(LEFT($A$2,7),2)&amp;LEFT($A$67,4)&amp;$B$70&amp;P$3,CertSalary))+SUM(IF(CertFund&amp;CertProg&amp;CertObj&amp;CertGrant=RIGHT(LEFT($A$2,7),2)&amp;LEFT($A$68,4)&amp;$B$70&amp;P$3,CertSalary))+SUM(IF(CertFund&amp;CertProg&amp;CertObj&amp;CertGrant=RIGHT(LEFT($A$2,7),2)&amp;LEFT($A$69,4)&amp;$B$70&amp;P$3,CertSalary))</f>
        <v>0</v>
      </c>
      <c r="Q70" s="528">
        <f t="array" ref="Q70">SUM(IF(CertFund&amp;CertProg&amp;CertObj&amp;CertGrant=RIGHT(LEFT($A$2,7),2)&amp;LEFT($A$63,4)&amp;$B$70&amp;Q$3,CertSalary))+SUM(IF(CertFund&amp;CertProg&amp;CertObj&amp;CertGrant=RIGHT(LEFT($A$2,7),2)&amp;LEFT($A$64,4)&amp;$B$70&amp;Q$3,CertSalary))+SUM(IF(CertFund&amp;CertProg&amp;CertObj&amp;CertGrant=RIGHT(LEFT($A$2,7),2)&amp;LEFT($A$65,4)&amp;$B$70&amp;Q$3,CertSalary))+SUM(IF(CertFund&amp;CertProg&amp;CertObj&amp;CertGrant=RIGHT(LEFT($A$2,7),2)&amp;LEFT($A$66,4)&amp;$B$70&amp;Q$3,CertSalary))+SUM(IF(CertFund&amp;CertProg&amp;CertObj&amp;CertGrant=RIGHT(LEFT($A$2,7),2)&amp;LEFT($A$67,4)&amp;$B$70&amp;Q$3,CertSalary))+SUM(IF(CertFund&amp;CertProg&amp;CertObj&amp;CertGrant=RIGHT(LEFT($A$2,7),2)&amp;LEFT($A$68,4)&amp;$B$70&amp;Q$3,CertSalary))+SUM(IF(CertFund&amp;CertProg&amp;CertObj&amp;CertGrant=RIGHT(LEFT($A$2,7),2)&amp;LEFT($A$69,4)&amp;$B$70&amp;Q$3,CertSalary))</f>
        <v>0</v>
      </c>
      <c r="R70" s="528">
        <f t="array" ref="R70">SUM(IF(CertFund&amp;CertProg&amp;CertObj&amp;CertGrant=RIGHT(LEFT($A$2,7),2)&amp;LEFT($A$63,4)&amp;$B$70&amp;R$3,CertSalary))+SUM(IF(CertFund&amp;CertProg&amp;CertObj&amp;CertGrant=RIGHT(LEFT($A$2,7),2)&amp;LEFT($A$64,4)&amp;$B$70&amp;R$3,CertSalary))+SUM(IF(CertFund&amp;CertProg&amp;CertObj&amp;CertGrant=RIGHT(LEFT($A$2,7),2)&amp;LEFT($A$65,4)&amp;$B$70&amp;R$3,CertSalary))+SUM(IF(CertFund&amp;CertProg&amp;CertObj&amp;CertGrant=RIGHT(LEFT($A$2,7),2)&amp;LEFT($A$66,4)&amp;$B$70&amp;R$3,CertSalary))+SUM(IF(CertFund&amp;CertProg&amp;CertObj&amp;CertGrant=RIGHT(LEFT($A$2,7),2)&amp;LEFT($A$67,4)&amp;$B$70&amp;R$3,CertSalary))+SUM(IF(CertFund&amp;CertProg&amp;CertObj&amp;CertGrant=RIGHT(LEFT($A$2,7),2)&amp;LEFT($A$68,4)&amp;$B$70&amp;R$3,CertSalary))+SUM(IF(CertFund&amp;CertProg&amp;CertObj&amp;CertGrant=RIGHT(LEFT($A$2,7),2)&amp;LEFT($A$69,4)&amp;$B$70&amp;R$3,CertSalary))</f>
        <v>0</v>
      </c>
      <c r="S70" s="528">
        <f t="array" ref="S70">SUM(IF(CertFund&amp;CertProg&amp;CertObj&amp;CertGrant=RIGHT(LEFT($A$2,7),2)&amp;LEFT($A$63,4)&amp;$B$70&amp;S$3,CertSalary))+SUM(IF(CertFund&amp;CertProg&amp;CertObj&amp;CertGrant=RIGHT(LEFT($A$2,7),2)&amp;LEFT($A$64,4)&amp;$B$70&amp;S$3,CertSalary))+SUM(IF(CertFund&amp;CertProg&amp;CertObj&amp;CertGrant=RIGHT(LEFT($A$2,7),2)&amp;LEFT($A$65,4)&amp;$B$70&amp;S$3,CertSalary))+SUM(IF(CertFund&amp;CertProg&amp;CertObj&amp;CertGrant=RIGHT(LEFT($A$2,7),2)&amp;LEFT($A$66,4)&amp;$B$70&amp;S$3,CertSalary))+SUM(IF(CertFund&amp;CertProg&amp;CertObj&amp;CertGrant=RIGHT(LEFT($A$2,7),2)&amp;LEFT($A$67,4)&amp;$B$70&amp;S$3,CertSalary))+SUM(IF(CertFund&amp;CertProg&amp;CertObj&amp;CertGrant=RIGHT(LEFT($A$2,7),2)&amp;LEFT($A$68,4)&amp;$B$70&amp;S$3,CertSalary))+SUM(IF(CertFund&amp;CertProg&amp;CertObj&amp;CertGrant=RIGHT(LEFT($A$2,7),2)&amp;LEFT($A$69,4)&amp;$B$70&amp;S$3,CertSalary))</f>
        <v>0</v>
      </c>
      <c r="T70" s="528">
        <f t="array" ref="T70">SUM(IF(CertFund&amp;CertProg&amp;CertObj&amp;CertGrant=RIGHT(LEFT($A$2,7),2)&amp;LEFT($A$63,4)&amp;$B$70&amp;T$3,CertSalary))+SUM(IF(CertFund&amp;CertProg&amp;CertObj&amp;CertGrant=RIGHT(LEFT($A$2,7),2)&amp;LEFT($A$64,4)&amp;$B$70&amp;T$3,CertSalary))+SUM(IF(CertFund&amp;CertProg&amp;CertObj&amp;CertGrant=RIGHT(LEFT($A$2,7),2)&amp;LEFT($A$65,4)&amp;$B$70&amp;T$3,CertSalary))+SUM(IF(CertFund&amp;CertProg&amp;CertObj&amp;CertGrant=RIGHT(LEFT($A$2,7),2)&amp;LEFT($A$66,4)&amp;$B$70&amp;T$3,CertSalary))+SUM(IF(CertFund&amp;CertProg&amp;CertObj&amp;CertGrant=RIGHT(LEFT($A$2,7),2)&amp;LEFT($A$67,4)&amp;$B$70&amp;T$3,CertSalary))+SUM(IF(CertFund&amp;CertProg&amp;CertObj&amp;CertGrant=RIGHT(LEFT($A$2,7),2)&amp;LEFT($A$68,4)&amp;$B$70&amp;T$3,CertSalary))+SUM(IF(CertFund&amp;CertProg&amp;CertObj&amp;CertGrant=RIGHT(LEFT($A$2,7),2)&amp;LEFT($A$69,4)&amp;$B$70&amp;T$3,CertSalary))</f>
        <v>0</v>
      </c>
      <c r="U70" s="528">
        <f t="array" ref="U70">SUM(IF(CertFund&amp;CertProg&amp;CertObj&amp;CertGrant=RIGHT(LEFT($A$2,7),2)&amp;LEFT($A$63,4)&amp;$B$70&amp;U$3,CertSalary))+SUM(IF(CertFund&amp;CertProg&amp;CertObj&amp;CertGrant=RIGHT(LEFT($A$2,7),2)&amp;LEFT($A$64,4)&amp;$B$70&amp;U$3,CertSalary))+SUM(IF(CertFund&amp;CertProg&amp;CertObj&amp;CertGrant=RIGHT(LEFT($A$2,7),2)&amp;LEFT($A$65,4)&amp;$B$70&amp;U$3,CertSalary))+SUM(IF(CertFund&amp;CertProg&amp;CertObj&amp;CertGrant=RIGHT(LEFT($A$2,7),2)&amp;LEFT($A$66,4)&amp;$B$70&amp;U$3,CertSalary))+SUM(IF(CertFund&amp;CertProg&amp;CertObj&amp;CertGrant=RIGHT(LEFT($A$2,7),2)&amp;LEFT($A$67,4)&amp;$B$70&amp;U$3,CertSalary))+SUM(IF(CertFund&amp;CertProg&amp;CertObj&amp;CertGrant=RIGHT(LEFT($A$2,7),2)&amp;LEFT($A$68,4)&amp;$B$70&amp;U$3,CertSalary))+SUM(IF(CertFund&amp;CertProg&amp;CertObj&amp;CertGrant=RIGHT(LEFT($A$2,7),2)&amp;LEFT($A$69,4)&amp;$B$70&amp;U$3,CertSalary))</f>
        <v>0</v>
      </c>
      <c r="V70" s="528">
        <f t="array" ref="V70">SUM(IF(CertFund&amp;CertProg&amp;CertObj&amp;CertGrant=RIGHT(LEFT($A$2,7),2)&amp;LEFT($A$63,4)&amp;$B$70&amp;V$3,CertSalary))+SUM(IF(CertFund&amp;CertProg&amp;CertObj&amp;CertGrant=RIGHT(LEFT($A$2,7),2)&amp;LEFT($A$64,4)&amp;$B$70&amp;V$3,CertSalary))+SUM(IF(CertFund&amp;CertProg&amp;CertObj&amp;CertGrant=RIGHT(LEFT($A$2,7),2)&amp;LEFT($A$65,4)&amp;$B$70&amp;V$3,CertSalary))+SUM(IF(CertFund&amp;CertProg&amp;CertObj&amp;CertGrant=RIGHT(LEFT($A$2,7),2)&amp;LEFT($A$66,4)&amp;$B$70&amp;V$3,CertSalary))+SUM(IF(CertFund&amp;CertProg&amp;CertObj&amp;CertGrant=RIGHT(LEFT($A$2,7),2)&amp;LEFT($A$67,4)&amp;$B$70&amp;V$3,CertSalary))+SUM(IF(CertFund&amp;CertProg&amp;CertObj&amp;CertGrant=RIGHT(LEFT($A$2,7),2)&amp;LEFT($A$68,4)&amp;$B$70&amp;V$3,CertSalary))+SUM(IF(CertFund&amp;CertProg&amp;CertObj&amp;CertGrant=RIGHT(LEFT($A$2,7),2)&amp;LEFT($A$69,4)&amp;$B$70&amp;V$3,CertSalary))</f>
        <v>0</v>
      </c>
      <c r="W70" s="528">
        <f t="array" ref="W70">SUM(IF(CertFund&amp;CertProg&amp;CertObj&amp;CertGrant=RIGHT(LEFT($A$2,7),2)&amp;LEFT($A$63,4)&amp;$B$70&amp;W$3,CertSalary))+SUM(IF(CertFund&amp;CertProg&amp;CertObj&amp;CertGrant=RIGHT(LEFT($A$2,7),2)&amp;LEFT($A$64,4)&amp;$B$70&amp;W$3,CertSalary))+SUM(IF(CertFund&amp;CertProg&amp;CertObj&amp;CertGrant=RIGHT(LEFT($A$2,7),2)&amp;LEFT($A$65,4)&amp;$B$70&amp;W$3,CertSalary))+SUM(IF(CertFund&amp;CertProg&amp;CertObj&amp;CertGrant=RIGHT(LEFT($A$2,7),2)&amp;LEFT($A$66,4)&amp;$B$70&amp;W$3,CertSalary))+SUM(IF(CertFund&amp;CertProg&amp;CertObj&amp;CertGrant=RIGHT(LEFT($A$2,7),2)&amp;LEFT($A$67,4)&amp;$B$70&amp;W$3,CertSalary))+SUM(IF(CertFund&amp;CertProg&amp;CertObj&amp;CertGrant=RIGHT(LEFT($A$2,7),2)&amp;LEFT($A$68,4)&amp;$B$70&amp;W$3,CertSalary))+SUM(IF(CertFund&amp;CertProg&amp;CertObj&amp;CertGrant=RIGHT(LEFT($A$2,7),2)&amp;LEFT($A$69,4)&amp;$B$70&amp;W$3,CertSalary))</f>
        <v>0</v>
      </c>
      <c r="X70" s="347">
        <f t="shared" ref="X70:X79" si="12">SUM(D70:W70)</f>
        <v>0</v>
      </c>
    </row>
    <row r="71" spans="1:24" ht="11.25" x14ac:dyDescent="0.2">
      <c r="A71" s="340" t="s">
        <v>1338</v>
      </c>
      <c r="B71" s="588" t="s">
        <v>1577</v>
      </c>
      <c r="C71" s="312" t="s">
        <v>510</v>
      </c>
      <c r="D71" s="147">
        <v>0</v>
      </c>
      <c r="E71" s="147">
        <v>0</v>
      </c>
      <c r="F71" s="147">
        <v>0</v>
      </c>
      <c r="G71" s="147">
        <v>0</v>
      </c>
      <c r="H71" s="147">
        <v>0</v>
      </c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7">
        <v>0</v>
      </c>
      <c r="V71" s="147">
        <v>0</v>
      </c>
      <c r="W71" s="147">
        <v>0</v>
      </c>
      <c r="X71" s="341">
        <f t="shared" si="12"/>
        <v>0</v>
      </c>
    </row>
    <row r="72" spans="1:24" ht="11.25" x14ac:dyDescent="0.2">
      <c r="A72" s="350">
        <v>13</v>
      </c>
      <c r="B72" s="588" t="s">
        <v>1578</v>
      </c>
      <c r="C72" s="312" t="s">
        <v>76</v>
      </c>
      <c r="D72" s="528">
        <f t="array" ref="D72">SUM(IF(CertFund&amp;CertProg&amp;CertObj&amp;CertGrant=RIGHT(LEFT($A$2,7),2)&amp;LEFT($A$63,4)&amp;$B$70&amp;D$3,CertBen))+SUM(IF(CertFund&amp;CertProg&amp;CertObj&amp;CertGrant=RIGHT(LEFT($A$2,7),2)&amp;LEFT($A$64,4)&amp;$B$70&amp;D$3,CertBen))+SUM(IF(CertFund&amp;CertProg&amp;CertObj&amp;CertGrant=RIGHT(LEFT($A$2,7),2)&amp;LEFT($A$65,4)&amp;$B$70&amp;D$3,CertBen))+SUM(IF(CertFund&amp;CertProg&amp;CertObj&amp;CertGrant=RIGHT(LEFT($A$2,7),2)&amp;LEFT($A$66,4)&amp;$B$70&amp;D$3,CertBen))+SUM(IF(CertFund&amp;CertProg&amp;CertObj&amp;CertGrant=RIGHT(LEFT($A$2,7),2)&amp;LEFT($A$67,4)&amp;$B$70&amp;D$3,CertBen))+SUM(IF(CertFund&amp;CertProg&amp;CertObj&amp;CertGrant=RIGHT(LEFT($A$2,7),2)&amp;LEFT($A$68,4)&amp;$B$70&amp;D$3,CertBen))+SUM(IF(CertFund&amp;CertProg&amp;CertObj&amp;CertGrant=RIGHT(LEFT($A$2,7),2)&amp;LEFT($A$69,4)&amp;$B$70&amp;D$3,CertBen))</f>
        <v>0</v>
      </c>
      <c r="E72" s="528">
        <f t="array" ref="E72">SUM(IF(CertFund&amp;CertProg&amp;CertObj&amp;CertGrant=RIGHT(LEFT($A$2,7),2)&amp;LEFT($A$63,4)&amp;$B$70&amp;E$3,CertBen))+SUM(IF(CertFund&amp;CertProg&amp;CertObj&amp;CertGrant=RIGHT(LEFT($A$2,7),2)&amp;LEFT($A$64,4)&amp;$B$70&amp;E$3,CertBen))+SUM(IF(CertFund&amp;CertProg&amp;CertObj&amp;CertGrant=RIGHT(LEFT($A$2,7),2)&amp;LEFT($A$65,4)&amp;$B$70&amp;E$3,CertBen))+SUM(IF(CertFund&amp;CertProg&amp;CertObj&amp;CertGrant=RIGHT(LEFT($A$2,7),2)&amp;LEFT($A$66,4)&amp;$B$70&amp;E$3,CertBen))+SUM(IF(CertFund&amp;CertProg&amp;CertObj&amp;CertGrant=RIGHT(LEFT($A$2,7),2)&amp;LEFT($A$67,4)&amp;$B$70&amp;E$3,CertBen))+SUM(IF(CertFund&amp;CertProg&amp;CertObj&amp;CertGrant=RIGHT(LEFT($A$2,7),2)&amp;LEFT($A$68,4)&amp;$B$70&amp;E$3,CertBen))+SUM(IF(CertFund&amp;CertProg&amp;CertObj&amp;CertGrant=RIGHT(LEFT($A$2,7),2)&amp;LEFT($A$69,4)&amp;$B$70&amp;E$3,CertBen))</f>
        <v>0</v>
      </c>
      <c r="F72" s="528">
        <f t="array" ref="F72">SUM(IF(CertFund&amp;CertProg&amp;CertObj&amp;CertGrant=RIGHT(LEFT($A$2,7),2)&amp;LEFT($A$63,4)&amp;$B$70&amp;F$3,CertBen))+SUM(IF(CertFund&amp;CertProg&amp;CertObj&amp;CertGrant=RIGHT(LEFT($A$2,7),2)&amp;LEFT($A$64,4)&amp;$B$70&amp;F$3,CertBen))+SUM(IF(CertFund&amp;CertProg&amp;CertObj&amp;CertGrant=RIGHT(LEFT($A$2,7),2)&amp;LEFT($A$65,4)&amp;$B$70&amp;F$3,CertBen))+SUM(IF(CertFund&amp;CertProg&amp;CertObj&amp;CertGrant=RIGHT(LEFT($A$2,7),2)&amp;LEFT($A$66,4)&amp;$B$70&amp;F$3,CertBen))+SUM(IF(CertFund&amp;CertProg&amp;CertObj&amp;CertGrant=RIGHT(LEFT($A$2,7),2)&amp;LEFT($A$67,4)&amp;$B$70&amp;F$3,CertBen))+SUM(IF(CertFund&amp;CertProg&amp;CertObj&amp;CertGrant=RIGHT(LEFT($A$2,7),2)&amp;LEFT($A$68,4)&amp;$B$70&amp;F$3,CertBen))+SUM(IF(CertFund&amp;CertProg&amp;CertObj&amp;CertGrant=RIGHT(LEFT($A$2,7),2)&amp;LEFT($A$69,4)&amp;$B$70&amp;F$3,CertBen))</f>
        <v>0</v>
      </c>
      <c r="G72" s="528">
        <f t="array" ref="G72">SUM(IF(CertFund&amp;CertProg&amp;CertObj&amp;CertGrant=RIGHT(LEFT($A$2,7),2)&amp;LEFT($A$63,4)&amp;$B$70&amp;G$3,CertBen))+SUM(IF(CertFund&amp;CertProg&amp;CertObj&amp;CertGrant=RIGHT(LEFT($A$2,7),2)&amp;LEFT($A$64,4)&amp;$B$70&amp;G$3,CertBen))+SUM(IF(CertFund&amp;CertProg&amp;CertObj&amp;CertGrant=RIGHT(LEFT($A$2,7),2)&amp;LEFT($A$65,4)&amp;$B$70&amp;G$3,CertBen))+SUM(IF(CertFund&amp;CertProg&amp;CertObj&amp;CertGrant=RIGHT(LEFT($A$2,7),2)&amp;LEFT($A$66,4)&amp;$B$70&amp;G$3,CertBen))+SUM(IF(CertFund&amp;CertProg&amp;CertObj&amp;CertGrant=RIGHT(LEFT($A$2,7),2)&amp;LEFT($A$67,4)&amp;$B$70&amp;G$3,CertBen))+SUM(IF(CertFund&amp;CertProg&amp;CertObj&amp;CertGrant=RIGHT(LEFT($A$2,7),2)&amp;LEFT($A$68,4)&amp;$B$70&amp;G$3,CertBen))+SUM(IF(CertFund&amp;CertProg&amp;CertObj&amp;CertGrant=RIGHT(LEFT($A$2,7),2)&amp;LEFT($A$69,4)&amp;$B$70&amp;G$3,CertBen))</f>
        <v>0</v>
      </c>
      <c r="H72" s="528">
        <f t="array" ref="H72">SUM(IF(CertFund&amp;CertProg&amp;CertObj&amp;CertGrant=RIGHT(LEFT($A$2,7),2)&amp;LEFT($A$63,4)&amp;$B$70&amp;H$3,CertBen))+SUM(IF(CertFund&amp;CertProg&amp;CertObj&amp;CertGrant=RIGHT(LEFT($A$2,7),2)&amp;LEFT($A$64,4)&amp;$B$70&amp;H$3,CertBen))+SUM(IF(CertFund&amp;CertProg&amp;CertObj&amp;CertGrant=RIGHT(LEFT($A$2,7),2)&amp;LEFT($A$65,4)&amp;$B$70&amp;H$3,CertBen))+SUM(IF(CertFund&amp;CertProg&amp;CertObj&amp;CertGrant=RIGHT(LEFT($A$2,7),2)&amp;LEFT($A$66,4)&amp;$B$70&amp;H$3,CertBen))+SUM(IF(CertFund&amp;CertProg&amp;CertObj&amp;CertGrant=RIGHT(LEFT($A$2,7),2)&amp;LEFT($A$67,4)&amp;$B$70&amp;H$3,CertBen))+SUM(IF(CertFund&amp;CertProg&amp;CertObj&amp;CertGrant=RIGHT(LEFT($A$2,7),2)&amp;LEFT($A$68,4)&amp;$B$70&amp;H$3,CertBen))+SUM(IF(CertFund&amp;CertProg&amp;CertObj&amp;CertGrant=RIGHT(LEFT($A$2,7),2)&amp;LEFT($A$69,4)&amp;$B$70&amp;H$3,CertBen))</f>
        <v>0</v>
      </c>
      <c r="I72" s="528">
        <f t="array" ref="I72">SUM(IF(CertFund&amp;CertProg&amp;CertObj&amp;CertGrant=RIGHT(LEFT($A$2,7),2)&amp;LEFT($A$63,4)&amp;$B$70&amp;I$3,CertBen))+SUM(IF(CertFund&amp;CertProg&amp;CertObj&amp;CertGrant=RIGHT(LEFT($A$2,7),2)&amp;LEFT($A$64,4)&amp;$B$70&amp;I$3,CertBen))+SUM(IF(CertFund&amp;CertProg&amp;CertObj&amp;CertGrant=RIGHT(LEFT($A$2,7),2)&amp;LEFT($A$65,4)&amp;$B$70&amp;I$3,CertBen))+SUM(IF(CertFund&amp;CertProg&amp;CertObj&amp;CertGrant=RIGHT(LEFT($A$2,7),2)&amp;LEFT($A$66,4)&amp;$B$70&amp;I$3,CertBen))+SUM(IF(CertFund&amp;CertProg&amp;CertObj&amp;CertGrant=RIGHT(LEFT($A$2,7),2)&amp;LEFT($A$67,4)&amp;$B$70&amp;I$3,CertBen))+SUM(IF(CertFund&amp;CertProg&amp;CertObj&amp;CertGrant=RIGHT(LEFT($A$2,7),2)&amp;LEFT($A$68,4)&amp;$B$70&amp;I$3,CertBen))+SUM(IF(CertFund&amp;CertProg&amp;CertObj&amp;CertGrant=RIGHT(LEFT($A$2,7),2)&amp;LEFT($A$69,4)&amp;$B$70&amp;I$3,CertBen))</f>
        <v>0</v>
      </c>
      <c r="J72" s="528">
        <f t="array" ref="J72">SUM(IF(CertFund&amp;CertProg&amp;CertObj&amp;CertGrant=RIGHT(LEFT($A$2,7),2)&amp;LEFT($A$63,4)&amp;$B$70&amp;J$3,CertBen))+SUM(IF(CertFund&amp;CertProg&amp;CertObj&amp;CertGrant=RIGHT(LEFT($A$2,7),2)&amp;LEFT($A$64,4)&amp;$B$70&amp;J$3,CertBen))+SUM(IF(CertFund&amp;CertProg&amp;CertObj&amp;CertGrant=RIGHT(LEFT($A$2,7),2)&amp;LEFT($A$65,4)&amp;$B$70&amp;J$3,CertBen))+SUM(IF(CertFund&amp;CertProg&amp;CertObj&amp;CertGrant=RIGHT(LEFT($A$2,7),2)&amp;LEFT($A$66,4)&amp;$B$70&amp;J$3,CertBen))+SUM(IF(CertFund&amp;CertProg&amp;CertObj&amp;CertGrant=RIGHT(LEFT($A$2,7),2)&amp;LEFT($A$67,4)&amp;$B$70&amp;J$3,CertBen))+SUM(IF(CertFund&amp;CertProg&amp;CertObj&amp;CertGrant=RIGHT(LEFT($A$2,7),2)&amp;LEFT($A$68,4)&amp;$B$70&amp;J$3,CertBen))+SUM(IF(CertFund&amp;CertProg&amp;CertObj&amp;CertGrant=RIGHT(LEFT($A$2,7),2)&amp;LEFT($A$69,4)&amp;$B$70&amp;J$3,CertBen))</f>
        <v>0</v>
      </c>
      <c r="K72" s="528">
        <f t="array" ref="K72">SUM(IF(CertFund&amp;CertProg&amp;CertObj&amp;CertGrant=RIGHT(LEFT($A$2,7),2)&amp;LEFT($A$63,4)&amp;$B$70&amp;K$3,CertBen))+SUM(IF(CertFund&amp;CertProg&amp;CertObj&amp;CertGrant=RIGHT(LEFT($A$2,7),2)&amp;LEFT($A$64,4)&amp;$B$70&amp;K$3,CertBen))+SUM(IF(CertFund&amp;CertProg&amp;CertObj&amp;CertGrant=RIGHT(LEFT($A$2,7),2)&amp;LEFT($A$65,4)&amp;$B$70&amp;K$3,CertBen))+SUM(IF(CertFund&amp;CertProg&amp;CertObj&amp;CertGrant=RIGHT(LEFT($A$2,7),2)&amp;LEFT($A$66,4)&amp;$B$70&amp;K$3,CertBen))+SUM(IF(CertFund&amp;CertProg&amp;CertObj&amp;CertGrant=RIGHT(LEFT($A$2,7),2)&amp;LEFT($A$67,4)&amp;$B$70&amp;K$3,CertBen))+SUM(IF(CertFund&amp;CertProg&amp;CertObj&amp;CertGrant=RIGHT(LEFT($A$2,7),2)&amp;LEFT($A$68,4)&amp;$B$70&amp;K$3,CertBen))+SUM(IF(CertFund&amp;CertProg&amp;CertObj&amp;CertGrant=RIGHT(LEFT($A$2,7),2)&amp;LEFT($A$69,4)&amp;$B$70&amp;K$3,CertBen))</f>
        <v>0</v>
      </c>
      <c r="L72" s="528">
        <f t="array" ref="L72">SUM(IF(CertFund&amp;CertProg&amp;CertObj&amp;CertGrant=RIGHT(LEFT($A$2,7),2)&amp;LEFT($A$63,4)&amp;$B$70&amp;L$3,CertBen))+SUM(IF(CertFund&amp;CertProg&amp;CertObj&amp;CertGrant=RIGHT(LEFT($A$2,7),2)&amp;LEFT($A$64,4)&amp;$B$70&amp;L$3,CertBen))+SUM(IF(CertFund&amp;CertProg&amp;CertObj&amp;CertGrant=RIGHT(LEFT($A$2,7),2)&amp;LEFT($A$65,4)&amp;$B$70&amp;L$3,CertBen))+SUM(IF(CertFund&amp;CertProg&amp;CertObj&amp;CertGrant=RIGHT(LEFT($A$2,7),2)&amp;LEFT($A$66,4)&amp;$B$70&amp;L$3,CertBen))+SUM(IF(CertFund&amp;CertProg&amp;CertObj&amp;CertGrant=RIGHT(LEFT($A$2,7),2)&amp;LEFT($A$67,4)&amp;$B$70&amp;L$3,CertBen))+SUM(IF(CertFund&amp;CertProg&amp;CertObj&amp;CertGrant=RIGHT(LEFT($A$2,7),2)&amp;LEFT($A$68,4)&amp;$B$70&amp;L$3,CertBen))+SUM(IF(CertFund&amp;CertProg&amp;CertObj&amp;CertGrant=RIGHT(LEFT($A$2,7),2)&amp;LEFT($A$69,4)&amp;$B$70&amp;L$3,CertBen))</f>
        <v>0</v>
      </c>
      <c r="M72" s="528">
        <f t="array" ref="M72">SUM(IF(CertFund&amp;CertProg&amp;CertObj&amp;CertGrant=RIGHT(LEFT($A$2,7),2)&amp;LEFT($A$63,4)&amp;$B$70&amp;M$3,CertBen))+SUM(IF(CertFund&amp;CertProg&amp;CertObj&amp;CertGrant=RIGHT(LEFT($A$2,7),2)&amp;LEFT($A$64,4)&amp;$B$70&amp;M$3,CertBen))+SUM(IF(CertFund&amp;CertProg&amp;CertObj&amp;CertGrant=RIGHT(LEFT($A$2,7),2)&amp;LEFT($A$65,4)&amp;$B$70&amp;M$3,CertBen))+SUM(IF(CertFund&amp;CertProg&amp;CertObj&amp;CertGrant=RIGHT(LEFT($A$2,7),2)&amp;LEFT($A$66,4)&amp;$B$70&amp;M$3,CertBen))+SUM(IF(CertFund&amp;CertProg&amp;CertObj&amp;CertGrant=RIGHT(LEFT($A$2,7),2)&amp;LEFT($A$67,4)&amp;$B$70&amp;M$3,CertBen))+SUM(IF(CertFund&amp;CertProg&amp;CertObj&amp;CertGrant=RIGHT(LEFT($A$2,7),2)&amp;LEFT($A$68,4)&amp;$B$70&amp;M$3,CertBen))+SUM(IF(CertFund&amp;CertProg&amp;CertObj&amp;CertGrant=RIGHT(LEFT($A$2,7),2)&amp;LEFT($A$69,4)&amp;$B$70&amp;M$3,CertBen))</f>
        <v>0</v>
      </c>
      <c r="N72" s="528">
        <f t="array" ref="N72">SUM(IF(CertFund&amp;CertProg&amp;CertObj&amp;CertGrant=RIGHT(LEFT($A$2,7),2)&amp;LEFT($A$63,4)&amp;$B$70&amp;N$3,CertBen))+SUM(IF(CertFund&amp;CertProg&amp;CertObj&amp;CertGrant=RIGHT(LEFT($A$2,7),2)&amp;LEFT($A$64,4)&amp;$B$70&amp;N$3,CertBen))+SUM(IF(CertFund&amp;CertProg&amp;CertObj&amp;CertGrant=RIGHT(LEFT($A$2,7),2)&amp;LEFT($A$65,4)&amp;$B$70&amp;N$3,CertBen))+SUM(IF(CertFund&amp;CertProg&amp;CertObj&amp;CertGrant=RIGHT(LEFT($A$2,7),2)&amp;LEFT($A$66,4)&amp;$B$70&amp;N$3,CertBen))+SUM(IF(CertFund&amp;CertProg&amp;CertObj&amp;CertGrant=RIGHT(LEFT($A$2,7),2)&amp;LEFT($A$67,4)&amp;$B$70&amp;N$3,CertBen))+SUM(IF(CertFund&amp;CertProg&amp;CertObj&amp;CertGrant=RIGHT(LEFT($A$2,7),2)&amp;LEFT($A$68,4)&amp;$B$70&amp;N$3,CertBen))+SUM(IF(CertFund&amp;CertProg&amp;CertObj&amp;CertGrant=RIGHT(LEFT($A$2,7),2)&amp;LEFT($A$69,4)&amp;$B$70&amp;N$3,CertBen))</f>
        <v>0</v>
      </c>
      <c r="O72" s="528">
        <f t="array" ref="O72">SUM(IF(CertFund&amp;CertProg&amp;CertObj&amp;CertGrant=RIGHT(LEFT($A$2,7),2)&amp;LEFT($A$63,4)&amp;$B$70&amp;O$3,CertBen))+SUM(IF(CertFund&amp;CertProg&amp;CertObj&amp;CertGrant=RIGHT(LEFT($A$2,7),2)&amp;LEFT($A$64,4)&amp;$B$70&amp;O$3,CertBen))+SUM(IF(CertFund&amp;CertProg&amp;CertObj&amp;CertGrant=RIGHT(LEFT($A$2,7),2)&amp;LEFT($A$65,4)&amp;$B$70&amp;O$3,CertBen))+SUM(IF(CertFund&amp;CertProg&amp;CertObj&amp;CertGrant=RIGHT(LEFT($A$2,7),2)&amp;LEFT($A$66,4)&amp;$B$70&amp;O$3,CertBen))+SUM(IF(CertFund&amp;CertProg&amp;CertObj&amp;CertGrant=RIGHT(LEFT($A$2,7),2)&amp;LEFT($A$67,4)&amp;$B$70&amp;O$3,CertBen))+SUM(IF(CertFund&amp;CertProg&amp;CertObj&amp;CertGrant=RIGHT(LEFT($A$2,7),2)&amp;LEFT($A$68,4)&amp;$B$70&amp;O$3,CertBen))+SUM(IF(CertFund&amp;CertProg&amp;CertObj&amp;CertGrant=RIGHT(LEFT($A$2,7),2)&amp;LEFT($A$69,4)&amp;$B$70&amp;O$3,CertBen))</f>
        <v>0</v>
      </c>
      <c r="P72" s="528">
        <f t="array" ref="P72">SUM(IF(CertFund&amp;CertProg&amp;CertObj&amp;CertGrant=RIGHT(LEFT($A$2,7),2)&amp;LEFT($A$63,4)&amp;$B$70&amp;P$3,CertBen))+SUM(IF(CertFund&amp;CertProg&amp;CertObj&amp;CertGrant=RIGHT(LEFT($A$2,7),2)&amp;LEFT($A$64,4)&amp;$B$70&amp;P$3,CertBen))+SUM(IF(CertFund&amp;CertProg&amp;CertObj&amp;CertGrant=RIGHT(LEFT($A$2,7),2)&amp;LEFT($A$65,4)&amp;$B$70&amp;P$3,CertBen))+SUM(IF(CertFund&amp;CertProg&amp;CertObj&amp;CertGrant=RIGHT(LEFT($A$2,7),2)&amp;LEFT($A$66,4)&amp;$B$70&amp;P$3,CertBen))+SUM(IF(CertFund&amp;CertProg&amp;CertObj&amp;CertGrant=RIGHT(LEFT($A$2,7),2)&amp;LEFT($A$67,4)&amp;$B$70&amp;P$3,CertBen))+SUM(IF(CertFund&amp;CertProg&amp;CertObj&amp;CertGrant=RIGHT(LEFT($A$2,7),2)&amp;LEFT($A$68,4)&amp;$B$70&amp;P$3,CertBen))+SUM(IF(CertFund&amp;CertProg&amp;CertObj&amp;CertGrant=RIGHT(LEFT($A$2,7),2)&amp;LEFT($A$69,4)&amp;$B$70&amp;P$3,CertBen))</f>
        <v>0</v>
      </c>
      <c r="Q72" s="528">
        <f t="array" ref="Q72">SUM(IF(CertFund&amp;CertProg&amp;CertObj&amp;CertGrant=RIGHT(LEFT($A$2,7),2)&amp;LEFT($A$63,4)&amp;$B$70&amp;Q$3,CertBen))+SUM(IF(CertFund&amp;CertProg&amp;CertObj&amp;CertGrant=RIGHT(LEFT($A$2,7),2)&amp;LEFT($A$64,4)&amp;$B$70&amp;Q$3,CertBen))+SUM(IF(CertFund&amp;CertProg&amp;CertObj&amp;CertGrant=RIGHT(LEFT($A$2,7),2)&amp;LEFT($A$65,4)&amp;$B$70&amp;Q$3,CertBen))+SUM(IF(CertFund&amp;CertProg&amp;CertObj&amp;CertGrant=RIGHT(LEFT($A$2,7),2)&amp;LEFT($A$66,4)&amp;$B$70&amp;Q$3,CertBen))+SUM(IF(CertFund&amp;CertProg&amp;CertObj&amp;CertGrant=RIGHT(LEFT($A$2,7),2)&amp;LEFT($A$67,4)&amp;$B$70&amp;Q$3,CertBen))+SUM(IF(CertFund&amp;CertProg&amp;CertObj&amp;CertGrant=RIGHT(LEFT($A$2,7),2)&amp;LEFT($A$68,4)&amp;$B$70&amp;Q$3,CertBen))+SUM(IF(CertFund&amp;CertProg&amp;CertObj&amp;CertGrant=RIGHT(LEFT($A$2,7),2)&amp;LEFT($A$69,4)&amp;$B$70&amp;Q$3,CertBen))</f>
        <v>0</v>
      </c>
      <c r="R72" s="528">
        <f t="array" ref="R72">SUM(IF(CertFund&amp;CertProg&amp;CertObj&amp;CertGrant=RIGHT(LEFT($A$2,7),2)&amp;LEFT($A$63,4)&amp;$B$70&amp;R$3,CertBen))+SUM(IF(CertFund&amp;CertProg&amp;CertObj&amp;CertGrant=RIGHT(LEFT($A$2,7),2)&amp;LEFT($A$64,4)&amp;$B$70&amp;R$3,CertBen))+SUM(IF(CertFund&amp;CertProg&amp;CertObj&amp;CertGrant=RIGHT(LEFT($A$2,7),2)&amp;LEFT($A$65,4)&amp;$B$70&amp;R$3,CertBen))+SUM(IF(CertFund&amp;CertProg&amp;CertObj&amp;CertGrant=RIGHT(LEFT($A$2,7),2)&amp;LEFT($A$66,4)&amp;$B$70&amp;R$3,CertBen))+SUM(IF(CertFund&amp;CertProg&amp;CertObj&amp;CertGrant=RIGHT(LEFT($A$2,7),2)&amp;LEFT($A$67,4)&amp;$B$70&amp;R$3,CertBen))+SUM(IF(CertFund&amp;CertProg&amp;CertObj&amp;CertGrant=RIGHT(LEFT($A$2,7),2)&amp;LEFT($A$68,4)&amp;$B$70&amp;R$3,CertBen))+SUM(IF(CertFund&amp;CertProg&amp;CertObj&amp;CertGrant=RIGHT(LEFT($A$2,7),2)&amp;LEFT($A$69,4)&amp;$B$70&amp;R$3,CertBen))</f>
        <v>0</v>
      </c>
      <c r="S72" s="528">
        <f t="array" ref="S72">SUM(IF(CertFund&amp;CertProg&amp;CertObj&amp;CertGrant=RIGHT(LEFT($A$2,7),2)&amp;LEFT($A$63,4)&amp;$B$70&amp;S$3,CertBen))+SUM(IF(CertFund&amp;CertProg&amp;CertObj&amp;CertGrant=RIGHT(LEFT($A$2,7),2)&amp;LEFT($A$64,4)&amp;$B$70&amp;S$3,CertBen))+SUM(IF(CertFund&amp;CertProg&amp;CertObj&amp;CertGrant=RIGHT(LEFT($A$2,7),2)&amp;LEFT($A$65,4)&amp;$B$70&amp;S$3,CertBen))+SUM(IF(CertFund&amp;CertProg&amp;CertObj&amp;CertGrant=RIGHT(LEFT($A$2,7),2)&amp;LEFT($A$66,4)&amp;$B$70&amp;S$3,CertBen))+SUM(IF(CertFund&amp;CertProg&amp;CertObj&amp;CertGrant=RIGHT(LEFT($A$2,7),2)&amp;LEFT($A$67,4)&amp;$B$70&amp;S$3,CertBen))+SUM(IF(CertFund&amp;CertProg&amp;CertObj&amp;CertGrant=RIGHT(LEFT($A$2,7),2)&amp;LEFT($A$68,4)&amp;$B$70&amp;S$3,CertBen))+SUM(IF(CertFund&amp;CertProg&amp;CertObj&amp;CertGrant=RIGHT(LEFT($A$2,7),2)&amp;LEFT($A$69,4)&amp;$B$70&amp;S$3,CertBen))</f>
        <v>0</v>
      </c>
      <c r="T72" s="528">
        <f t="array" ref="T72">SUM(IF(CertFund&amp;CertProg&amp;CertObj&amp;CertGrant=RIGHT(LEFT($A$2,7),2)&amp;LEFT($A$63,4)&amp;$B$70&amp;T$3,CertBen))+SUM(IF(CertFund&amp;CertProg&amp;CertObj&amp;CertGrant=RIGHT(LEFT($A$2,7),2)&amp;LEFT($A$64,4)&amp;$B$70&amp;T$3,CertBen))+SUM(IF(CertFund&amp;CertProg&amp;CertObj&amp;CertGrant=RIGHT(LEFT($A$2,7),2)&amp;LEFT($A$65,4)&amp;$B$70&amp;T$3,CertBen))+SUM(IF(CertFund&amp;CertProg&amp;CertObj&amp;CertGrant=RIGHT(LEFT($A$2,7),2)&amp;LEFT($A$66,4)&amp;$B$70&amp;T$3,CertBen))+SUM(IF(CertFund&amp;CertProg&amp;CertObj&amp;CertGrant=RIGHT(LEFT($A$2,7),2)&amp;LEFT($A$67,4)&amp;$B$70&amp;T$3,CertBen))+SUM(IF(CertFund&amp;CertProg&amp;CertObj&amp;CertGrant=RIGHT(LEFT($A$2,7),2)&amp;LEFT($A$68,4)&amp;$B$70&amp;T$3,CertBen))+SUM(IF(CertFund&amp;CertProg&amp;CertObj&amp;CertGrant=RIGHT(LEFT($A$2,7),2)&amp;LEFT($A$69,4)&amp;$B$70&amp;T$3,CertBen))</f>
        <v>0</v>
      </c>
      <c r="U72" s="528">
        <f t="array" ref="U72">SUM(IF(CertFund&amp;CertProg&amp;CertObj&amp;CertGrant=RIGHT(LEFT($A$2,7),2)&amp;LEFT($A$63,4)&amp;$B$70&amp;U$3,CertBen))+SUM(IF(CertFund&amp;CertProg&amp;CertObj&amp;CertGrant=RIGHT(LEFT($A$2,7),2)&amp;LEFT($A$64,4)&amp;$B$70&amp;U$3,CertBen))+SUM(IF(CertFund&amp;CertProg&amp;CertObj&amp;CertGrant=RIGHT(LEFT($A$2,7),2)&amp;LEFT($A$65,4)&amp;$B$70&amp;U$3,CertBen))+SUM(IF(CertFund&amp;CertProg&amp;CertObj&amp;CertGrant=RIGHT(LEFT($A$2,7),2)&amp;LEFT($A$66,4)&amp;$B$70&amp;U$3,CertBen))+SUM(IF(CertFund&amp;CertProg&amp;CertObj&amp;CertGrant=RIGHT(LEFT($A$2,7),2)&amp;LEFT($A$67,4)&amp;$B$70&amp;U$3,CertBen))+SUM(IF(CertFund&amp;CertProg&amp;CertObj&amp;CertGrant=RIGHT(LEFT($A$2,7),2)&amp;LEFT($A$68,4)&amp;$B$70&amp;U$3,CertBen))+SUM(IF(CertFund&amp;CertProg&amp;CertObj&amp;CertGrant=RIGHT(LEFT($A$2,7),2)&amp;LEFT($A$69,4)&amp;$B$70&amp;U$3,CertBen))</f>
        <v>0</v>
      </c>
      <c r="V72" s="528">
        <f t="array" ref="V72">SUM(IF(CertFund&amp;CertProg&amp;CertObj&amp;CertGrant=RIGHT(LEFT($A$2,7),2)&amp;LEFT($A$63,4)&amp;$B$70&amp;V$3,CertBen))+SUM(IF(CertFund&amp;CertProg&amp;CertObj&amp;CertGrant=RIGHT(LEFT($A$2,7),2)&amp;LEFT($A$64,4)&amp;$B$70&amp;V$3,CertBen))+SUM(IF(CertFund&amp;CertProg&amp;CertObj&amp;CertGrant=RIGHT(LEFT($A$2,7),2)&amp;LEFT($A$65,4)&amp;$B$70&amp;V$3,CertBen))+SUM(IF(CertFund&amp;CertProg&amp;CertObj&amp;CertGrant=RIGHT(LEFT($A$2,7),2)&amp;LEFT($A$66,4)&amp;$B$70&amp;V$3,CertBen))+SUM(IF(CertFund&amp;CertProg&amp;CertObj&amp;CertGrant=RIGHT(LEFT($A$2,7),2)&amp;LEFT($A$67,4)&amp;$B$70&amp;V$3,CertBen))+SUM(IF(CertFund&amp;CertProg&amp;CertObj&amp;CertGrant=RIGHT(LEFT($A$2,7),2)&amp;LEFT($A$68,4)&amp;$B$70&amp;V$3,CertBen))+SUM(IF(CertFund&amp;CertProg&amp;CertObj&amp;CertGrant=RIGHT(LEFT($A$2,7),2)&amp;LEFT($A$69,4)&amp;$B$70&amp;V$3,CertBen))</f>
        <v>0</v>
      </c>
      <c r="W72" s="528">
        <f t="array" ref="W72">SUM(IF(CertFund&amp;CertProg&amp;CertObj&amp;CertGrant=RIGHT(LEFT($A$2,7),2)&amp;LEFT($A$63,4)&amp;$B$70&amp;W$3,CertBen))+SUM(IF(CertFund&amp;CertProg&amp;CertObj&amp;CertGrant=RIGHT(LEFT($A$2,7),2)&amp;LEFT($A$64,4)&amp;$B$70&amp;W$3,CertBen))+SUM(IF(CertFund&amp;CertProg&amp;CertObj&amp;CertGrant=RIGHT(LEFT($A$2,7),2)&amp;LEFT($A$65,4)&amp;$B$70&amp;W$3,CertBen))+SUM(IF(CertFund&amp;CertProg&amp;CertObj&amp;CertGrant=RIGHT(LEFT($A$2,7),2)&amp;LEFT($A$66,4)&amp;$B$70&amp;W$3,CertBen))+SUM(IF(CertFund&amp;CertProg&amp;CertObj&amp;CertGrant=RIGHT(LEFT($A$2,7),2)&amp;LEFT($A$67,4)&amp;$B$70&amp;W$3,CertBen))+SUM(IF(CertFund&amp;CertProg&amp;CertObj&amp;CertGrant=RIGHT(LEFT($A$2,7),2)&amp;LEFT($A$68,4)&amp;$B$70&amp;W$3,CertBen))+SUM(IF(CertFund&amp;CertProg&amp;CertObj&amp;CertGrant=RIGHT(LEFT($A$2,7),2)&amp;LEFT($A$69,4)&amp;$B$70&amp;W$3,CertBen))</f>
        <v>0</v>
      </c>
      <c r="X72" s="341">
        <f t="shared" si="12"/>
        <v>0</v>
      </c>
    </row>
    <row r="73" spans="1:24" ht="11.25" x14ac:dyDescent="0.2">
      <c r="A73" s="350" t="s">
        <v>1439</v>
      </c>
      <c r="B73" s="588" t="s">
        <v>1578</v>
      </c>
      <c r="C73" s="312" t="s">
        <v>511</v>
      </c>
      <c r="D73" s="590">
        <v>0</v>
      </c>
      <c r="E73" s="590">
        <v>0</v>
      </c>
      <c r="F73" s="590">
        <v>0</v>
      </c>
      <c r="G73" s="590">
        <v>0</v>
      </c>
      <c r="H73" s="590">
        <v>0</v>
      </c>
      <c r="I73" s="590">
        <v>0</v>
      </c>
      <c r="J73" s="590">
        <v>0</v>
      </c>
      <c r="K73" s="590">
        <v>0</v>
      </c>
      <c r="L73" s="590">
        <v>0</v>
      </c>
      <c r="M73" s="590">
        <v>0</v>
      </c>
      <c r="N73" s="590">
        <v>0</v>
      </c>
      <c r="O73" s="590">
        <v>0</v>
      </c>
      <c r="P73" s="590">
        <v>0</v>
      </c>
      <c r="Q73" s="590">
        <v>0</v>
      </c>
      <c r="R73" s="590">
        <v>0</v>
      </c>
      <c r="S73" s="590">
        <v>0</v>
      </c>
      <c r="T73" s="590">
        <v>0</v>
      </c>
      <c r="U73" s="590">
        <v>0</v>
      </c>
      <c r="V73" s="590">
        <v>0</v>
      </c>
      <c r="W73" s="590">
        <v>0</v>
      </c>
      <c r="X73" s="341">
        <f t="shared" si="12"/>
        <v>0</v>
      </c>
    </row>
    <row r="74" spans="1:24" ht="11.25" x14ac:dyDescent="0.2">
      <c r="A74" s="350">
        <v>14</v>
      </c>
      <c r="B74" s="588" t="s">
        <v>1579</v>
      </c>
      <c r="C74" s="329" t="s">
        <v>273</v>
      </c>
      <c r="D74" s="590">
        <v>0</v>
      </c>
      <c r="E74" s="590">
        <v>0</v>
      </c>
      <c r="F74" s="590">
        <v>0</v>
      </c>
      <c r="G74" s="590">
        <v>0</v>
      </c>
      <c r="H74" s="590">
        <v>0</v>
      </c>
      <c r="I74" s="590">
        <v>0</v>
      </c>
      <c r="J74" s="590">
        <v>0</v>
      </c>
      <c r="K74" s="590">
        <v>0</v>
      </c>
      <c r="L74" s="591">
        <v>0</v>
      </c>
      <c r="M74" s="591">
        <v>0</v>
      </c>
      <c r="N74" s="591">
        <v>0</v>
      </c>
      <c r="O74" s="591">
        <v>0</v>
      </c>
      <c r="P74" s="591">
        <v>0</v>
      </c>
      <c r="Q74" s="591">
        <v>0</v>
      </c>
      <c r="R74" s="591">
        <v>0</v>
      </c>
      <c r="S74" s="591">
        <v>0</v>
      </c>
      <c r="T74" s="591">
        <v>0</v>
      </c>
      <c r="U74" s="591">
        <v>0</v>
      </c>
      <c r="V74" s="591">
        <v>0</v>
      </c>
      <c r="W74" s="591">
        <v>0</v>
      </c>
      <c r="X74" s="341">
        <f t="shared" si="12"/>
        <v>0</v>
      </c>
    </row>
    <row r="75" spans="1:24" ht="11.25" x14ac:dyDescent="0.2">
      <c r="A75" s="350">
        <v>15</v>
      </c>
      <c r="B75" s="588" t="s">
        <v>1580</v>
      </c>
      <c r="C75" s="327" t="s">
        <v>277</v>
      </c>
      <c r="D75" s="590">
        <v>0</v>
      </c>
      <c r="E75" s="590">
        <v>0</v>
      </c>
      <c r="F75" s="590">
        <v>0</v>
      </c>
      <c r="G75" s="590">
        <v>0</v>
      </c>
      <c r="H75" s="590">
        <v>0</v>
      </c>
      <c r="I75" s="590">
        <v>0</v>
      </c>
      <c r="J75" s="590">
        <v>0</v>
      </c>
      <c r="K75" s="590">
        <v>0</v>
      </c>
      <c r="L75" s="591">
        <v>0</v>
      </c>
      <c r="M75" s="591">
        <v>0</v>
      </c>
      <c r="N75" s="591">
        <v>0</v>
      </c>
      <c r="O75" s="591">
        <v>0</v>
      </c>
      <c r="P75" s="591">
        <v>0</v>
      </c>
      <c r="Q75" s="591">
        <v>0</v>
      </c>
      <c r="R75" s="591">
        <v>0</v>
      </c>
      <c r="S75" s="591">
        <v>0</v>
      </c>
      <c r="T75" s="591">
        <v>0</v>
      </c>
      <c r="U75" s="591">
        <v>0</v>
      </c>
      <c r="V75" s="591">
        <v>0</v>
      </c>
      <c r="W75" s="591">
        <v>0</v>
      </c>
      <c r="X75" s="341">
        <f t="shared" si="12"/>
        <v>0</v>
      </c>
    </row>
    <row r="76" spans="1:24" ht="11.25" x14ac:dyDescent="0.2">
      <c r="A76" s="350">
        <v>16</v>
      </c>
      <c r="B76" s="188" t="s">
        <v>1581</v>
      </c>
      <c r="C76" s="329" t="s">
        <v>274</v>
      </c>
      <c r="D76" s="590">
        <v>0</v>
      </c>
      <c r="E76" s="590">
        <v>0</v>
      </c>
      <c r="F76" s="590">
        <v>0</v>
      </c>
      <c r="G76" s="590">
        <v>0</v>
      </c>
      <c r="H76" s="590">
        <v>0</v>
      </c>
      <c r="I76" s="590">
        <v>0</v>
      </c>
      <c r="J76" s="590">
        <v>0</v>
      </c>
      <c r="K76" s="590">
        <v>0</v>
      </c>
      <c r="L76" s="591">
        <v>0</v>
      </c>
      <c r="M76" s="591">
        <v>0</v>
      </c>
      <c r="N76" s="591">
        <v>0</v>
      </c>
      <c r="O76" s="591">
        <v>0</v>
      </c>
      <c r="P76" s="591">
        <v>0</v>
      </c>
      <c r="Q76" s="591">
        <v>0</v>
      </c>
      <c r="R76" s="591">
        <v>0</v>
      </c>
      <c r="S76" s="591">
        <v>0</v>
      </c>
      <c r="T76" s="591">
        <v>0</v>
      </c>
      <c r="U76" s="591">
        <v>0</v>
      </c>
      <c r="V76" s="591">
        <v>0</v>
      </c>
      <c r="W76" s="591">
        <v>0</v>
      </c>
      <c r="X76" s="341">
        <f t="shared" si="12"/>
        <v>0</v>
      </c>
    </row>
    <row r="77" spans="1:24" ht="11.25" x14ac:dyDescent="0.2">
      <c r="A77" s="350">
        <v>17</v>
      </c>
      <c r="B77" s="188" t="s">
        <v>1582</v>
      </c>
      <c r="C77" s="327" t="s">
        <v>275</v>
      </c>
      <c r="D77" s="590">
        <v>0</v>
      </c>
      <c r="E77" s="590">
        <v>0</v>
      </c>
      <c r="F77" s="590">
        <v>0</v>
      </c>
      <c r="G77" s="590">
        <v>0</v>
      </c>
      <c r="H77" s="590">
        <v>0</v>
      </c>
      <c r="I77" s="590">
        <v>0</v>
      </c>
      <c r="J77" s="590">
        <v>0</v>
      </c>
      <c r="K77" s="590">
        <v>0</v>
      </c>
      <c r="L77" s="591">
        <v>0</v>
      </c>
      <c r="M77" s="591">
        <v>0</v>
      </c>
      <c r="N77" s="591">
        <v>0</v>
      </c>
      <c r="O77" s="591">
        <v>0</v>
      </c>
      <c r="P77" s="591">
        <v>0</v>
      </c>
      <c r="Q77" s="591">
        <v>0</v>
      </c>
      <c r="R77" s="591">
        <v>0</v>
      </c>
      <c r="S77" s="591">
        <v>0</v>
      </c>
      <c r="T77" s="591">
        <v>0</v>
      </c>
      <c r="U77" s="591">
        <v>0</v>
      </c>
      <c r="V77" s="591">
        <v>0</v>
      </c>
      <c r="W77" s="591">
        <v>0</v>
      </c>
      <c r="X77" s="341">
        <f t="shared" si="12"/>
        <v>0</v>
      </c>
    </row>
    <row r="78" spans="1:24" ht="11.25" x14ac:dyDescent="0.2">
      <c r="A78" s="350">
        <v>18</v>
      </c>
      <c r="B78" s="188" t="s">
        <v>1584</v>
      </c>
      <c r="C78" s="327" t="s">
        <v>276</v>
      </c>
      <c r="D78" s="590">
        <v>0</v>
      </c>
      <c r="E78" s="590">
        <v>0</v>
      </c>
      <c r="F78" s="590">
        <v>0</v>
      </c>
      <c r="G78" s="590">
        <v>0</v>
      </c>
      <c r="H78" s="590">
        <v>0</v>
      </c>
      <c r="I78" s="590">
        <v>0</v>
      </c>
      <c r="J78" s="590">
        <v>0</v>
      </c>
      <c r="K78" s="590">
        <v>0</v>
      </c>
      <c r="L78" s="591">
        <v>0</v>
      </c>
      <c r="M78" s="591">
        <v>0</v>
      </c>
      <c r="N78" s="591">
        <v>0</v>
      </c>
      <c r="O78" s="591">
        <v>0</v>
      </c>
      <c r="P78" s="591">
        <v>0</v>
      </c>
      <c r="Q78" s="591">
        <v>0</v>
      </c>
      <c r="R78" s="591">
        <v>0</v>
      </c>
      <c r="S78" s="591">
        <v>0</v>
      </c>
      <c r="T78" s="591">
        <v>0</v>
      </c>
      <c r="U78" s="591">
        <v>0</v>
      </c>
      <c r="V78" s="591">
        <v>0</v>
      </c>
      <c r="W78" s="591">
        <v>0</v>
      </c>
      <c r="X78" s="341">
        <f t="shared" si="12"/>
        <v>0</v>
      </c>
    </row>
    <row r="79" spans="1:24" ht="11.25" x14ac:dyDescent="0.2">
      <c r="A79" s="351">
        <v>19</v>
      </c>
      <c r="C79" s="352" t="s">
        <v>295</v>
      </c>
      <c r="D79" s="347">
        <f>SUM(D70:D78)</f>
        <v>0</v>
      </c>
      <c r="E79" s="347">
        <f t="shared" ref="E79:W79" si="13">SUM(E70:E78)</f>
        <v>0</v>
      </c>
      <c r="F79" s="347">
        <f t="shared" si="13"/>
        <v>0</v>
      </c>
      <c r="G79" s="347">
        <f t="shared" si="13"/>
        <v>0</v>
      </c>
      <c r="H79" s="347">
        <f t="shared" si="13"/>
        <v>0</v>
      </c>
      <c r="I79" s="347">
        <f t="shared" si="13"/>
        <v>0</v>
      </c>
      <c r="J79" s="347">
        <f t="shared" si="13"/>
        <v>0</v>
      </c>
      <c r="K79" s="347">
        <f t="shared" si="13"/>
        <v>0</v>
      </c>
      <c r="L79" s="347">
        <f t="shared" si="13"/>
        <v>0</v>
      </c>
      <c r="M79" s="347">
        <f t="shared" si="13"/>
        <v>0</v>
      </c>
      <c r="N79" s="347">
        <f t="shared" si="13"/>
        <v>0</v>
      </c>
      <c r="O79" s="347">
        <f t="shared" si="13"/>
        <v>0</v>
      </c>
      <c r="P79" s="347">
        <f t="shared" si="13"/>
        <v>0</v>
      </c>
      <c r="Q79" s="347">
        <f t="shared" si="13"/>
        <v>0</v>
      </c>
      <c r="R79" s="347">
        <f t="shared" si="13"/>
        <v>0</v>
      </c>
      <c r="S79" s="347">
        <f t="shared" si="13"/>
        <v>0</v>
      </c>
      <c r="T79" s="347">
        <f t="shared" si="13"/>
        <v>0</v>
      </c>
      <c r="U79" s="347">
        <f t="shared" si="13"/>
        <v>0</v>
      </c>
      <c r="V79" s="347">
        <f t="shared" si="13"/>
        <v>0</v>
      </c>
      <c r="W79" s="347">
        <f t="shared" si="13"/>
        <v>0</v>
      </c>
      <c r="X79" s="341">
        <f t="shared" si="12"/>
        <v>0</v>
      </c>
    </row>
    <row r="80" spans="1:24" ht="11.25" x14ac:dyDescent="0.2">
      <c r="A80" s="371" t="s">
        <v>1435</v>
      </c>
      <c r="B80" s="369"/>
      <c r="C80" s="348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</row>
    <row r="81" spans="1:24" ht="11.25" x14ac:dyDescent="0.2">
      <c r="A81" s="340">
        <v>20</v>
      </c>
      <c r="B81" s="588" t="s">
        <v>1577</v>
      </c>
      <c r="C81" s="312" t="s">
        <v>228</v>
      </c>
      <c r="D81" s="528">
        <f t="array" ref="D81">SUM(IF(CertFund&amp;CertProg&amp;CertObj&amp;CertGrant=RIGHT(LEFT($A$2,7),2)&amp;LEFT($A$80,4)&amp;$B$81&amp;D$3,CertSalary))</f>
        <v>0</v>
      </c>
      <c r="E81" s="528">
        <f t="array" ref="E81">SUM(IF(CertFund&amp;CertProg&amp;CertObj&amp;CertGrant=RIGHT(LEFT($A$2,7),2)&amp;LEFT($A$80,4)&amp;$B$81&amp;E$3,CertSalary))</f>
        <v>0</v>
      </c>
      <c r="F81" s="528">
        <f t="array" ref="F81">SUM(IF(CertFund&amp;CertProg&amp;CertObj&amp;CertGrant=RIGHT(LEFT($A$2,7),2)&amp;LEFT($A$80,4)&amp;$B$81&amp;F$3,CertSalary))</f>
        <v>0</v>
      </c>
      <c r="G81" s="528">
        <f t="array" ref="G81">SUM(IF(CertFund&amp;CertProg&amp;CertObj&amp;CertGrant=RIGHT(LEFT($A$2,7),2)&amp;LEFT($A$80,4)&amp;$B$81&amp;G$3,CertSalary))</f>
        <v>0</v>
      </c>
      <c r="H81" s="528">
        <f t="array" ref="H81">SUM(IF(CertFund&amp;CertProg&amp;CertObj&amp;CertGrant=RIGHT(LEFT($A$2,7),2)&amp;LEFT($A$80,4)&amp;$B$81&amp;H$3,CertSalary))</f>
        <v>0</v>
      </c>
      <c r="I81" s="528">
        <f t="array" ref="I81">SUM(IF(CertFund&amp;CertProg&amp;CertObj&amp;CertGrant=RIGHT(LEFT($A$2,7),2)&amp;LEFT($A$80,4)&amp;$B$81&amp;I$3,CertSalary))</f>
        <v>0</v>
      </c>
      <c r="J81" s="528">
        <f t="array" ref="J81">SUM(IF(CertFund&amp;CertProg&amp;CertObj&amp;CertGrant=RIGHT(LEFT($A$2,7),2)&amp;LEFT($A$80,4)&amp;$B$81&amp;J$3,CertSalary))</f>
        <v>0</v>
      </c>
      <c r="K81" s="528">
        <f t="array" ref="K81">SUM(IF(CertFund&amp;CertProg&amp;CertObj&amp;CertGrant=RIGHT(LEFT($A$2,7),2)&amp;LEFT($A$80,4)&amp;$B$81&amp;K$3,CertSalary))</f>
        <v>0</v>
      </c>
      <c r="L81" s="528">
        <f t="array" ref="L81">SUM(IF(CertFund&amp;CertProg&amp;CertObj&amp;CertGrant=RIGHT(LEFT($A$2,7),2)&amp;LEFT($A$80,4)&amp;$B$81&amp;L$3,CertSalary))</f>
        <v>0</v>
      </c>
      <c r="M81" s="528">
        <f t="array" ref="M81">SUM(IF(CertFund&amp;CertProg&amp;CertObj&amp;CertGrant=RIGHT(LEFT($A$2,7),2)&amp;LEFT($A$80,4)&amp;$B$81&amp;M$3,CertSalary))</f>
        <v>0</v>
      </c>
      <c r="N81" s="528">
        <f t="array" ref="N81">SUM(IF(CertFund&amp;CertProg&amp;CertObj&amp;CertGrant=RIGHT(LEFT($A$2,7),2)&amp;LEFT($A$80,4)&amp;$B$81&amp;N$3,CertSalary))</f>
        <v>0</v>
      </c>
      <c r="O81" s="528">
        <f t="array" ref="O81">SUM(IF(CertFund&amp;CertProg&amp;CertObj&amp;CertGrant=RIGHT(LEFT($A$2,7),2)&amp;LEFT($A$80,4)&amp;$B$81&amp;O$3,CertSalary))</f>
        <v>0</v>
      </c>
      <c r="P81" s="528">
        <f t="array" ref="P81">SUM(IF(CertFund&amp;CertProg&amp;CertObj&amp;CertGrant=RIGHT(LEFT($A$2,7),2)&amp;LEFT($A$80,4)&amp;$B$81&amp;P$3,CertSalary))</f>
        <v>0</v>
      </c>
      <c r="Q81" s="528">
        <f t="array" ref="Q81">SUM(IF(CertFund&amp;CertProg&amp;CertObj&amp;CertGrant=RIGHT(LEFT($A$2,7),2)&amp;LEFT($A$80,4)&amp;$B$81&amp;Q$3,CertSalary))</f>
        <v>0</v>
      </c>
      <c r="R81" s="528">
        <f t="array" ref="R81">SUM(IF(CertFund&amp;CertProg&amp;CertObj&amp;CertGrant=RIGHT(LEFT($A$2,7),2)&amp;LEFT($A$80,4)&amp;$B$81&amp;R$3,CertSalary))</f>
        <v>0</v>
      </c>
      <c r="S81" s="528">
        <f t="array" ref="S81">SUM(IF(CertFund&amp;CertProg&amp;CertObj&amp;CertGrant=RIGHT(LEFT($A$2,7),2)&amp;LEFT($A$80,4)&amp;$B$81&amp;S$3,CertSalary))</f>
        <v>0</v>
      </c>
      <c r="T81" s="528">
        <f t="array" ref="T81">SUM(IF(CertFund&amp;CertProg&amp;CertObj&amp;CertGrant=RIGHT(LEFT($A$2,7),2)&amp;LEFT($A$80,4)&amp;$B$81&amp;T$3,CertSalary))</f>
        <v>0</v>
      </c>
      <c r="U81" s="528">
        <f t="array" ref="U81">SUM(IF(CertFund&amp;CertProg&amp;CertObj&amp;CertGrant=RIGHT(LEFT($A$2,7),2)&amp;LEFT($A$80,4)&amp;$B$81&amp;U$3,CertSalary))</f>
        <v>0</v>
      </c>
      <c r="V81" s="528">
        <f t="array" ref="V81">SUM(IF(CertFund&amp;CertProg&amp;CertObj&amp;CertGrant=RIGHT(LEFT($A$2,7),2)&amp;LEFT($A$80,4)&amp;$B$81&amp;V$3,CertSalary))</f>
        <v>0</v>
      </c>
      <c r="W81" s="528">
        <f t="array" ref="W81">SUM(IF(CertFund&amp;CertProg&amp;CertObj&amp;CertGrant=RIGHT(LEFT($A$2,7),2)&amp;LEFT($A$80,4)&amp;$B$81&amp;W$3,CertSalary))</f>
        <v>0</v>
      </c>
      <c r="X81" s="347">
        <f t="shared" ref="X81:X89" si="14">SUM(D81:W81)</f>
        <v>0</v>
      </c>
    </row>
    <row r="82" spans="1:24" ht="11.25" x14ac:dyDescent="0.2">
      <c r="A82" s="340" t="s">
        <v>1440</v>
      </c>
      <c r="B82" s="588" t="s">
        <v>1577</v>
      </c>
      <c r="C82" s="312" t="s">
        <v>510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341">
        <f t="shared" si="14"/>
        <v>0</v>
      </c>
    </row>
    <row r="83" spans="1:24" ht="11.25" x14ac:dyDescent="0.2">
      <c r="A83" s="340">
        <v>21</v>
      </c>
      <c r="B83" s="588" t="s">
        <v>1578</v>
      </c>
      <c r="C83" s="312" t="s">
        <v>76</v>
      </c>
      <c r="D83" s="528">
        <f t="array" ref="D83">SUM(IF(CertFund&amp;CertProg&amp;CertObj&amp;CertGrant=RIGHT(LEFT($A$2,7),2)&amp;LEFT($A$80,4)&amp;$B$81&amp;D$3,CertBen))</f>
        <v>0</v>
      </c>
      <c r="E83" s="528">
        <f t="array" ref="E83">SUM(IF(CertFund&amp;CertProg&amp;CertObj&amp;CertGrant=RIGHT(LEFT($A$2,7),2)&amp;LEFT($A$80,4)&amp;$B$81&amp;E$3,CertBen))</f>
        <v>0</v>
      </c>
      <c r="F83" s="528">
        <f t="array" ref="F83">SUM(IF(CertFund&amp;CertProg&amp;CertObj&amp;CertGrant=RIGHT(LEFT($A$2,7),2)&amp;LEFT($A$80,4)&amp;$B$81&amp;F$3,CertBen))</f>
        <v>0</v>
      </c>
      <c r="G83" s="528">
        <f t="array" ref="G83">SUM(IF(CertFund&amp;CertProg&amp;CertObj&amp;CertGrant=RIGHT(LEFT($A$2,7),2)&amp;LEFT($A$80,4)&amp;$B$81&amp;G$3,CertBen))</f>
        <v>0</v>
      </c>
      <c r="H83" s="528">
        <f t="array" ref="H83">SUM(IF(CertFund&amp;CertProg&amp;CertObj&amp;CertGrant=RIGHT(LEFT($A$2,7),2)&amp;LEFT($A$80,4)&amp;$B$81&amp;H$3,CertBen))</f>
        <v>0</v>
      </c>
      <c r="I83" s="528">
        <f t="array" ref="I83">SUM(IF(CertFund&amp;CertProg&amp;CertObj&amp;CertGrant=RIGHT(LEFT($A$2,7),2)&amp;LEFT($A$80,4)&amp;$B$81&amp;I$3,CertBen))</f>
        <v>0</v>
      </c>
      <c r="J83" s="528">
        <f t="array" ref="J83">SUM(IF(CertFund&amp;CertProg&amp;CertObj&amp;CertGrant=RIGHT(LEFT($A$2,7),2)&amp;LEFT($A$80,4)&amp;$B$81&amp;J$3,CertBen))</f>
        <v>0</v>
      </c>
      <c r="K83" s="528">
        <f t="array" ref="K83">SUM(IF(CertFund&amp;CertProg&amp;CertObj&amp;CertGrant=RIGHT(LEFT($A$2,7),2)&amp;LEFT($A$80,4)&amp;$B$81&amp;K$3,CertBen))</f>
        <v>0</v>
      </c>
      <c r="L83" s="528">
        <f t="array" ref="L83">SUM(IF(CertFund&amp;CertProg&amp;CertObj&amp;CertGrant=RIGHT(LEFT($A$2,7),2)&amp;LEFT($A$80,4)&amp;$B$81&amp;L$3,CertBen))</f>
        <v>0</v>
      </c>
      <c r="M83" s="528">
        <f t="array" ref="M83">SUM(IF(CertFund&amp;CertProg&amp;CertObj&amp;CertGrant=RIGHT(LEFT($A$2,7),2)&amp;LEFT($A$80,4)&amp;$B$81&amp;M$3,CertBen))</f>
        <v>0</v>
      </c>
      <c r="N83" s="528">
        <f t="array" ref="N83">SUM(IF(CertFund&amp;CertProg&amp;CertObj&amp;CertGrant=RIGHT(LEFT($A$2,7),2)&amp;LEFT($A$80,4)&amp;$B$81&amp;N$3,CertBen))</f>
        <v>0</v>
      </c>
      <c r="O83" s="528">
        <f t="array" ref="O83">SUM(IF(CertFund&amp;CertProg&amp;CertObj&amp;CertGrant=RIGHT(LEFT($A$2,7),2)&amp;LEFT($A$80,4)&amp;$B$81&amp;O$3,CertBen))</f>
        <v>0</v>
      </c>
      <c r="P83" s="528">
        <f t="array" ref="P83">SUM(IF(CertFund&amp;CertProg&amp;CertObj&amp;CertGrant=RIGHT(LEFT($A$2,7),2)&amp;LEFT($A$80,4)&amp;$B$81&amp;P$3,CertBen))</f>
        <v>0</v>
      </c>
      <c r="Q83" s="528">
        <f t="array" ref="Q83">SUM(IF(CertFund&amp;CertProg&amp;CertObj&amp;CertGrant=RIGHT(LEFT($A$2,7),2)&amp;LEFT($A$80,4)&amp;$B$81&amp;Q$3,CertBen))</f>
        <v>0</v>
      </c>
      <c r="R83" s="528">
        <f t="array" ref="R83">SUM(IF(CertFund&amp;CertProg&amp;CertObj&amp;CertGrant=RIGHT(LEFT($A$2,7),2)&amp;LEFT($A$80,4)&amp;$B$81&amp;R$3,CertBen))</f>
        <v>0</v>
      </c>
      <c r="S83" s="528">
        <f t="array" ref="S83">SUM(IF(CertFund&amp;CertProg&amp;CertObj&amp;CertGrant=RIGHT(LEFT($A$2,7),2)&amp;LEFT($A$80,4)&amp;$B$81&amp;S$3,CertBen))</f>
        <v>0</v>
      </c>
      <c r="T83" s="528">
        <f t="array" ref="T83">SUM(IF(CertFund&amp;CertProg&amp;CertObj&amp;CertGrant=RIGHT(LEFT($A$2,7),2)&amp;LEFT($A$80,4)&amp;$B$81&amp;T$3,CertBen))</f>
        <v>0</v>
      </c>
      <c r="U83" s="528">
        <f t="array" ref="U83">SUM(IF(CertFund&amp;CertProg&amp;CertObj&amp;CertGrant=RIGHT(LEFT($A$2,7),2)&amp;LEFT($A$80,4)&amp;$B$81&amp;U$3,CertBen))</f>
        <v>0</v>
      </c>
      <c r="V83" s="528">
        <f t="array" ref="V83">SUM(IF(CertFund&amp;CertProg&amp;CertObj&amp;CertGrant=RIGHT(LEFT($A$2,7),2)&amp;LEFT($A$80,4)&amp;$B$81&amp;V$3,CertBen))</f>
        <v>0</v>
      </c>
      <c r="W83" s="528">
        <f t="array" ref="W83">SUM(IF(CertFund&amp;CertProg&amp;CertObj&amp;CertGrant=RIGHT(LEFT($A$2,7),2)&amp;LEFT($A$80,4)&amp;$B$81&amp;W$3,CertBen))</f>
        <v>0</v>
      </c>
      <c r="X83" s="341">
        <f t="shared" si="14"/>
        <v>0</v>
      </c>
    </row>
    <row r="84" spans="1:24" ht="11.25" x14ac:dyDescent="0.2">
      <c r="A84" s="340" t="s">
        <v>1441</v>
      </c>
      <c r="B84" s="588" t="s">
        <v>1578</v>
      </c>
      <c r="C84" s="312" t="s">
        <v>511</v>
      </c>
      <c r="D84" s="590">
        <v>0</v>
      </c>
      <c r="E84" s="590">
        <v>0</v>
      </c>
      <c r="F84" s="590">
        <v>0</v>
      </c>
      <c r="G84" s="590">
        <v>0</v>
      </c>
      <c r="H84" s="590">
        <v>0</v>
      </c>
      <c r="I84" s="590">
        <v>0</v>
      </c>
      <c r="J84" s="590">
        <v>0</v>
      </c>
      <c r="K84" s="590">
        <v>0</v>
      </c>
      <c r="L84" s="590">
        <v>0</v>
      </c>
      <c r="M84" s="590">
        <v>0</v>
      </c>
      <c r="N84" s="590">
        <v>0</v>
      </c>
      <c r="O84" s="590">
        <v>0</v>
      </c>
      <c r="P84" s="590">
        <v>0</v>
      </c>
      <c r="Q84" s="590">
        <v>0</v>
      </c>
      <c r="R84" s="590">
        <v>0</v>
      </c>
      <c r="S84" s="590">
        <v>0</v>
      </c>
      <c r="T84" s="590">
        <v>0</v>
      </c>
      <c r="U84" s="590">
        <v>0</v>
      </c>
      <c r="V84" s="590">
        <v>0</v>
      </c>
      <c r="W84" s="590">
        <v>0</v>
      </c>
      <c r="X84" s="341">
        <f t="shared" si="14"/>
        <v>0</v>
      </c>
    </row>
    <row r="85" spans="1:24" ht="11.25" x14ac:dyDescent="0.2">
      <c r="A85" s="340">
        <v>22</v>
      </c>
      <c r="B85" s="588" t="s">
        <v>1579</v>
      </c>
      <c r="C85" s="329" t="s">
        <v>273</v>
      </c>
      <c r="D85" s="590">
        <v>0</v>
      </c>
      <c r="E85" s="590">
        <v>0</v>
      </c>
      <c r="F85" s="590">
        <v>0</v>
      </c>
      <c r="G85" s="590">
        <v>0</v>
      </c>
      <c r="H85" s="590">
        <v>0</v>
      </c>
      <c r="I85" s="590">
        <v>0</v>
      </c>
      <c r="J85" s="590">
        <v>0</v>
      </c>
      <c r="K85" s="590">
        <v>0</v>
      </c>
      <c r="L85" s="591">
        <v>0</v>
      </c>
      <c r="M85" s="591">
        <v>0</v>
      </c>
      <c r="N85" s="591">
        <v>0</v>
      </c>
      <c r="O85" s="591">
        <v>0</v>
      </c>
      <c r="P85" s="591">
        <v>0</v>
      </c>
      <c r="Q85" s="591">
        <v>0</v>
      </c>
      <c r="R85" s="591">
        <v>0</v>
      </c>
      <c r="S85" s="591">
        <v>0</v>
      </c>
      <c r="T85" s="591">
        <v>0</v>
      </c>
      <c r="U85" s="591">
        <v>0</v>
      </c>
      <c r="V85" s="591">
        <v>0</v>
      </c>
      <c r="W85" s="591">
        <v>0</v>
      </c>
      <c r="X85" s="341">
        <f t="shared" si="14"/>
        <v>0</v>
      </c>
    </row>
    <row r="86" spans="1:24" ht="11.25" x14ac:dyDescent="0.2">
      <c r="A86" s="340">
        <v>23</v>
      </c>
      <c r="B86" s="188" t="s">
        <v>1581</v>
      </c>
      <c r="C86" s="329" t="s">
        <v>274</v>
      </c>
      <c r="D86" s="590">
        <v>0</v>
      </c>
      <c r="E86" s="590">
        <v>0</v>
      </c>
      <c r="F86" s="590">
        <v>0</v>
      </c>
      <c r="G86" s="590">
        <v>0</v>
      </c>
      <c r="H86" s="590">
        <v>0</v>
      </c>
      <c r="I86" s="590">
        <v>0</v>
      </c>
      <c r="J86" s="590">
        <v>0</v>
      </c>
      <c r="K86" s="590">
        <v>0</v>
      </c>
      <c r="L86" s="591">
        <v>0</v>
      </c>
      <c r="M86" s="591">
        <v>0</v>
      </c>
      <c r="N86" s="591">
        <v>0</v>
      </c>
      <c r="O86" s="591">
        <v>0</v>
      </c>
      <c r="P86" s="591">
        <v>0</v>
      </c>
      <c r="Q86" s="591">
        <v>0</v>
      </c>
      <c r="R86" s="591">
        <v>0</v>
      </c>
      <c r="S86" s="591">
        <v>0</v>
      </c>
      <c r="T86" s="591">
        <v>0</v>
      </c>
      <c r="U86" s="591">
        <v>0</v>
      </c>
      <c r="V86" s="591">
        <v>0</v>
      </c>
      <c r="W86" s="591">
        <v>0</v>
      </c>
      <c r="X86" s="341">
        <f t="shared" si="14"/>
        <v>0</v>
      </c>
    </row>
    <row r="87" spans="1:24" ht="11.25" x14ac:dyDescent="0.2">
      <c r="A87" s="340">
        <v>24</v>
      </c>
      <c r="B87" s="188" t="s">
        <v>1582</v>
      </c>
      <c r="C87" s="329" t="s">
        <v>275</v>
      </c>
      <c r="D87" s="590">
        <v>0</v>
      </c>
      <c r="E87" s="590">
        <v>0</v>
      </c>
      <c r="F87" s="590">
        <v>0</v>
      </c>
      <c r="G87" s="590">
        <v>0</v>
      </c>
      <c r="H87" s="590">
        <v>0</v>
      </c>
      <c r="I87" s="590">
        <v>0</v>
      </c>
      <c r="J87" s="590">
        <v>0</v>
      </c>
      <c r="K87" s="590">
        <v>0</v>
      </c>
      <c r="L87" s="591">
        <v>0</v>
      </c>
      <c r="M87" s="591">
        <v>0</v>
      </c>
      <c r="N87" s="591">
        <v>0</v>
      </c>
      <c r="O87" s="591">
        <v>0</v>
      </c>
      <c r="P87" s="591">
        <v>0</v>
      </c>
      <c r="Q87" s="591">
        <v>0</v>
      </c>
      <c r="R87" s="591">
        <v>0</v>
      </c>
      <c r="S87" s="591">
        <v>0</v>
      </c>
      <c r="T87" s="591">
        <v>0</v>
      </c>
      <c r="U87" s="591">
        <v>0</v>
      </c>
      <c r="V87" s="591">
        <v>0</v>
      </c>
      <c r="W87" s="591">
        <v>0</v>
      </c>
      <c r="X87" s="341">
        <f t="shared" si="14"/>
        <v>0</v>
      </c>
    </row>
    <row r="88" spans="1:24" ht="11.25" x14ac:dyDescent="0.2">
      <c r="A88" s="350">
        <v>25</v>
      </c>
      <c r="B88" s="188" t="s">
        <v>1584</v>
      </c>
      <c r="C88" s="327" t="s">
        <v>276</v>
      </c>
      <c r="D88" s="590">
        <v>0</v>
      </c>
      <c r="E88" s="590">
        <v>0</v>
      </c>
      <c r="F88" s="590">
        <v>0</v>
      </c>
      <c r="G88" s="590">
        <v>0</v>
      </c>
      <c r="H88" s="590">
        <v>0</v>
      </c>
      <c r="I88" s="590">
        <v>0</v>
      </c>
      <c r="J88" s="590">
        <v>0</v>
      </c>
      <c r="K88" s="590">
        <v>0</v>
      </c>
      <c r="L88" s="591">
        <v>0</v>
      </c>
      <c r="M88" s="591">
        <v>0</v>
      </c>
      <c r="N88" s="591">
        <v>0</v>
      </c>
      <c r="O88" s="591">
        <v>0</v>
      </c>
      <c r="P88" s="591">
        <v>0</v>
      </c>
      <c r="Q88" s="591">
        <v>0</v>
      </c>
      <c r="R88" s="591">
        <v>0</v>
      </c>
      <c r="S88" s="591">
        <v>0</v>
      </c>
      <c r="T88" s="591">
        <v>0</v>
      </c>
      <c r="U88" s="591">
        <v>0</v>
      </c>
      <c r="V88" s="591">
        <v>0</v>
      </c>
      <c r="W88" s="591">
        <v>0</v>
      </c>
      <c r="X88" s="341">
        <f t="shared" si="14"/>
        <v>0</v>
      </c>
    </row>
    <row r="89" spans="1:24" ht="11.25" x14ac:dyDescent="0.2">
      <c r="A89" s="340">
        <v>26</v>
      </c>
      <c r="C89" s="346" t="s">
        <v>296</v>
      </c>
      <c r="D89" s="347">
        <f>SUM(D81:D88)</f>
        <v>0</v>
      </c>
      <c r="E89" s="347">
        <f t="shared" ref="E89:W89" si="15">SUM(E81:E88)</f>
        <v>0</v>
      </c>
      <c r="F89" s="347">
        <f t="shared" si="15"/>
        <v>0</v>
      </c>
      <c r="G89" s="347">
        <f t="shared" si="15"/>
        <v>0</v>
      </c>
      <c r="H89" s="347">
        <f t="shared" si="15"/>
        <v>0</v>
      </c>
      <c r="I89" s="347">
        <f t="shared" si="15"/>
        <v>0</v>
      </c>
      <c r="J89" s="347">
        <f t="shared" si="15"/>
        <v>0</v>
      </c>
      <c r="K89" s="353">
        <f t="shared" si="15"/>
        <v>0</v>
      </c>
      <c r="L89" s="353">
        <f t="shared" si="15"/>
        <v>0</v>
      </c>
      <c r="M89" s="353">
        <f t="shared" si="15"/>
        <v>0</v>
      </c>
      <c r="N89" s="353">
        <f t="shared" si="15"/>
        <v>0</v>
      </c>
      <c r="O89" s="353">
        <f t="shared" si="15"/>
        <v>0</v>
      </c>
      <c r="P89" s="353">
        <f t="shared" si="15"/>
        <v>0</v>
      </c>
      <c r="Q89" s="353">
        <f t="shared" si="15"/>
        <v>0</v>
      </c>
      <c r="R89" s="353">
        <f t="shared" si="15"/>
        <v>0</v>
      </c>
      <c r="S89" s="353">
        <f t="shared" si="15"/>
        <v>0</v>
      </c>
      <c r="T89" s="353">
        <f t="shared" si="15"/>
        <v>0</v>
      </c>
      <c r="U89" s="353">
        <f t="shared" si="15"/>
        <v>0</v>
      </c>
      <c r="V89" s="353">
        <f t="shared" si="15"/>
        <v>0</v>
      </c>
      <c r="W89" s="353">
        <f t="shared" si="15"/>
        <v>0</v>
      </c>
      <c r="X89" s="341">
        <f t="shared" si="14"/>
        <v>0</v>
      </c>
    </row>
    <row r="90" spans="1:24" ht="11.25" x14ac:dyDescent="0.2">
      <c r="A90" s="371" t="s">
        <v>1444</v>
      </c>
      <c r="B90" s="369"/>
      <c r="C90" s="348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</row>
    <row r="91" spans="1:24" ht="11.25" x14ac:dyDescent="0.2">
      <c r="A91" s="371" t="s">
        <v>1436</v>
      </c>
      <c r="B91" s="369"/>
      <c r="C91" s="348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</row>
    <row r="92" spans="1:24" ht="11.25" x14ac:dyDescent="0.2">
      <c r="A92" s="371" t="s">
        <v>623</v>
      </c>
      <c r="B92" s="369"/>
      <c r="C92" s="348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</row>
    <row r="93" spans="1:24" ht="11.25" x14ac:dyDescent="0.2">
      <c r="A93" s="340">
        <v>27</v>
      </c>
      <c r="B93" s="588" t="s">
        <v>1577</v>
      </c>
      <c r="C93" s="312" t="s">
        <v>228</v>
      </c>
      <c r="D93" s="528">
        <f t="array" ref="D93">SUM(IF(CertFund&amp;CertProg&amp;CertObj&amp;CertGrant=RIGHT(LEFT($A$2,7),2)&amp;LEFT($A$90,4)&amp;$B$93&amp;D$3,CertSalary))+SUM(IF(CertFund&amp;CertProg&amp;CertObj&amp;CertGrant=RIGHT(LEFT($A$2,7),2)&amp;LEFT($A$91,4)&amp;$B$93&amp;D$3,CertSalary))+SUM(IF(CertFund&amp;CertProg&amp;CertObj&amp;CertGrant=RIGHT(LEFT($A$2,7),2)&amp;LEFT($A$92,4)&amp;$B$93&amp;D$3,CertSalary))</f>
        <v>0</v>
      </c>
      <c r="E93" s="528">
        <f t="array" ref="E93">SUM(IF(CertFund&amp;CertProg&amp;CertObj&amp;CertGrant=RIGHT(LEFT($A$2,7),2)&amp;LEFT($A$90,4)&amp;$B$93&amp;E$3,CertSalary))+SUM(IF(CertFund&amp;CertProg&amp;CertObj&amp;CertGrant=RIGHT(LEFT($A$2,7),2)&amp;LEFT($A$91,4)&amp;$B$93&amp;E$3,CertSalary))+SUM(IF(CertFund&amp;CertProg&amp;CertObj&amp;CertGrant=RIGHT(LEFT($A$2,7),2)&amp;LEFT($A$92,4)&amp;$B$93&amp;E$3,CertSalary))</f>
        <v>0</v>
      </c>
      <c r="F93" s="528">
        <f t="array" ref="F93">SUM(IF(CertFund&amp;CertProg&amp;CertObj&amp;CertGrant=RIGHT(LEFT($A$2,7),2)&amp;LEFT($A$90,4)&amp;$B$93&amp;F$3,CertSalary))+SUM(IF(CertFund&amp;CertProg&amp;CertObj&amp;CertGrant=RIGHT(LEFT($A$2,7),2)&amp;LEFT($A$91,4)&amp;$B$93&amp;F$3,CertSalary))+SUM(IF(CertFund&amp;CertProg&amp;CertObj&amp;CertGrant=RIGHT(LEFT($A$2,7),2)&amp;LEFT($A$92,4)&amp;$B$93&amp;F$3,CertSalary))</f>
        <v>0</v>
      </c>
      <c r="G93" s="528">
        <f t="array" ref="G93">SUM(IF(CertFund&amp;CertProg&amp;CertObj&amp;CertGrant=RIGHT(LEFT($A$2,7),2)&amp;LEFT($A$90,4)&amp;$B$93&amp;G$3,CertSalary))+SUM(IF(CertFund&amp;CertProg&amp;CertObj&amp;CertGrant=RIGHT(LEFT($A$2,7),2)&amp;LEFT($A$91,4)&amp;$B$93&amp;G$3,CertSalary))+SUM(IF(CertFund&amp;CertProg&amp;CertObj&amp;CertGrant=RIGHT(LEFT($A$2,7),2)&amp;LEFT($A$92,4)&amp;$B$93&amp;G$3,CertSalary))</f>
        <v>0</v>
      </c>
      <c r="H93" s="528">
        <f t="array" ref="H93">SUM(IF(CertFund&amp;CertProg&amp;CertObj&amp;CertGrant=RIGHT(LEFT($A$2,7),2)&amp;LEFT($A$90,4)&amp;$B$93&amp;H$3,CertSalary))+SUM(IF(CertFund&amp;CertProg&amp;CertObj&amp;CertGrant=RIGHT(LEFT($A$2,7),2)&amp;LEFT($A$91,4)&amp;$B$93&amp;H$3,CertSalary))+SUM(IF(CertFund&amp;CertProg&amp;CertObj&amp;CertGrant=RIGHT(LEFT($A$2,7),2)&amp;LEFT($A$92,4)&amp;$B$93&amp;H$3,CertSalary))</f>
        <v>0</v>
      </c>
      <c r="I93" s="528">
        <f t="array" ref="I93">SUM(IF(CertFund&amp;CertProg&amp;CertObj&amp;CertGrant=RIGHT(LEFT($A$2,7),2)&amp;LEFT($A$90,4)&amp;$B$93&amp;I$3,CertSalary))+SUM(IF(CertFund&amp;CertProg&amp;CertObj&amp;CertGrant=RIGHT(LEFT($A$2,7),2)&amp;LEFT($A$91,4)&amp;$B$93&amp;I$3,CertSalary))+SUM(IF(CertFund&amp;CertProg&amp;CertObj&amp;CertGrant=RIGHT(LEFT($A$2,7),2)&amp;LEFT($A$92,4)&amp;$B$93&amp;I$3,CertSalary))</f>
        <v>0</v>
      </c>
      <c r="J93" s="528">
        <f t="array" ref="J93">SUM(IF(CertFund&amp;CertProg&amp;CertObj&amp;CertGrant=RIGHT(LEFT($A$2,7),2)&amp;LEFT($A$90,4)&amp;$B$93&amp;J$3,CertSalary))+SUM(IF(CertFund&amp;CertProg&amp;CertObj&amp;CertGrant=RIGHT(LEFT($A$2,7),2)&amp;LEFT($A$91,4)&amp;$B$93&amp;J$3,CertSalary))+SUM(IF(CertFund&amp;CertProg&amp;CertObj&amp;CertGrant=RIGHT(LEFT($A$2,7),2)&amp;LEFT($A$92,4)&amp;$B$93&amp;J$3,CertSalary))</f>
        <v>0</v>
      </c>
      <c r="K93" s="528">
        <f t="array" ref="K93">SUM(IF(CertFund&amp;CertProg&amp;CertObj&amp;CertGrant=RIGHT(LEFT($A$2,7),2)&amp;LEFT($A$90,4)&amp;$B$93&amp;K$3,CertSalary))+SUM(IF(CertFund&amp;CertProg&amp;CertObj&amp;CertGrant=RIGHT(LEFT($A$2,7),2)&amp;LEFT($A$91,4)&amp;$B$93&amp;K$3,CertSalary))+SUM(IF(CertFund&amp;CertProg&amp;CertObj&amp;CertGrant=RIGHT(LEFT($A$2,7),2)&amp;LEFT($A$92,4)&amp;$B$93&amp;K$3,CertSalary))</f>
        <v>0</v>
      </c>
      <c r="L93" s="528">
        <f t="array" ref="L93">SUM(IF(CertFund&amp;CertProg&amp;CertObj&amp;CertGrant=RIGHT(LEFT($A$2,7),2)&amp;LEFT($A$90,4)&amp;$B$93&amp;L$3,CertSalary))+SUM(IF(CertFund&amp;CertProg&amp;CertObj&amp;CertGrant=RIGHT(LEFT($A$2,7),2)&amp;LEFT($A$91,4)&amp;$B$93&amp;L$3,CertSalary))+SUM(IF(CertFund&amp;CertProg&amp;CertObj&amp;CertGrant=RIGHT(LEFT($A$2,7),2)&amp;LEFT($A$92,4)&amp;$B$93&amp;L$3,CertSalary))</f>
        <v>0</v>
      </c>
      <c r="M93" s="528">
        <f t="array" ref="M93">SUM(IF(CertFund&amp;CertProg&amp;CertObj&amp;CertGrant=RIGHT(LEFT($A$2,7),2)&amp;LEFT($A$90,4)&amp;$B$93&amp;M$3,CertSalary))+SUM(IF(CertFund&amp;CertProg&amp;CertObj&amp;CertGrant=RIGHT(LEFT($A$2,7),2)&amp;LEFT($A$91,4)&amp;$B$93&amp;M$3,CertSalary))+SUM(IF(CertFund&amp;CertProg&amp;CertObj&amp;CertGrant=RIGHT(LEFT($A$2,7),2)&amp;LEFT($A$92,4)&amp;$B$93&amp;M$3,CertSalary))</f>
        <v>0</v>
      </c>
      <c r="N93" s="528">
        <f t="array" ref="N93">SUM(IF(CertFund&amp;CertProg&amp;CertObj&amp;CertGrant=RIGHT(LEFT($A$2,7),2)&amp;LEFT($A$90,4)&amp;$B$93&amp;N$3,CertSalary))+SUM(IF(CertFund&amp;CertProg&amp;CertObj&amp;CertGrant=RIGHT(LEFT($A$2,7),2)&amp;LEFT($A$91,4)&amp;$B$93&amp;N$3,CertSalary))+SUM(IF(CertFund&amp;CertProg&amp;CertObj&amp;CertGrant=RIGHT(LEFT($A$2,7),2)&amp;LEFT($A$92,4)&amp;$B$93&amp;N$3,CertSalary))</f>
        <v>0</v>
      </c>
      <c r="O93" s="528">
        <f t="array" ref="O93">SUM(IF(CertFund&amp;CertProg&amp;CertObj&amp;CertGrant=RIGHT(LEFT($A$2,7),2)&amp;LEFT($A$90,4)&amp;$B$93&amp;O$3,CertSalary))+SUM(IF(CertFund&amp;CertProg&amp;CertObj&amp;CertGrant=RIGHT(LEFT($A$2,7),2)&amp;LEFT($A$91,4)&amp;$B$93&amp;O$3,CertSalary))+SUM(IF(CertFund&amp;CertProg&amp;CertObj&amp;CertGrant=RIGHT(LEFT($A$2,7),2)&amp;LEFT($A$92,4)&amp;$B$93&amp;O$3,CertSalary))</f>
        <v>0</v>
      </c>
      <c r="P93" s="528">
        <f t="array" ref="P93">SUM(IF(CertFund&amp;CertProg&amp;CertObj&amp;CertGrant=RIGHT(LEFT($A$2,7),2)&amp;LEFT($A$90,4)&amp;$B$93&amp;P$3,CertSalary))+SUM(IF(CertFund&amp;CertProg&amp;CertObj&amp;CertGrant=RIGHT(LEFT($A$2,7),2)&amp;LEFT($A$91,4)&amp;$B$93&amp;P$3,CertSalary))+SUM(IF(CertFund&amp;CertProg&amp;CertObj&amp;CertGrant=RIGHT(LEFT($A$2,7),2)&amp;LEFT($A$92,4)&amp;$B$93&amp;P$3,CertSalary))</f>
        <v>0</v>
      </c>
      <c r="Q93" s="528">
        <f t="array" ref="Q93">SUM(IF(CertFund&amp;CertProg&amp;CertObj&amp;CertGrant=RIGHT(LEFT($A$2,7),2)&amp;LEFT($A$90,4)&amp;$B$93&amp;Q$3,CertSalary))+SUM(IF(CertFund&amp;CertProg&amp;CertObj&amp;CertGrant=RIGHT(LEFT($A$2,7),2)&amp;LEFT($A$91,4)&amp;$B$93&amp;Q$3,CertSalary))+SUM(IF(CertFund&amp;CertProg&amp;CertObj&amp;CertGrant=RIGHT(LEFT($A$2,7),2)&amp;LEFT($A$92,4)&amp;$B$93&amp;Q$3,CertSalary))</f>
        <v>0</v>
      </c>
      <c r="R93" s="528">
        <f t="array" ref="R93">SUM(IF(CertFund&amp;CertProg&amp;CertObj&amp;CertGrant=RIGHT(LEFT($A$2,7),2)&amp;LEFT($A$90,4)&amp;$B$93&amp;R$3,CertSalary))+SUM(IF(CertFund&amp;CertProg&amp;CertObj&amp;CertGrant=RIGHT(LEFT($A$2,7),2)&amp;LEFT($A$91,4)&amp;$B$93&amp;R$3,CertSalary))+SUM(IF(CertFund&amp;CertProg&amp;CertObj&amp;CertGrant=RIGHT(LEFT($A$2,7),2)&amp;LEFT($A$92,4)&amp;$B$93&amp;R$3,CertSalary))</f>
        <v>0</v>
      </c>
      <c r="S93" s="528">
        <f t="array" ref="S93">SUM(IF(CertFund&amp;CertProg&amp;CertObj&amp;CertGrant=RIGHT(LEFT($A$2,7),2)&amp;LEFT($A$90,4)&amp;$B$93&amp;S$3,CertSalary))+SUM(IF(CertFund&amp;CertProg&amp;CertObj&amp;CertGrant=RIGHT(LEFT($A$2,7),2)&amp;LEFT($A$91,4)&amp;$B$93&amp;S$3,CertSalary))+SUM(IF(CertFund&amp;CertProg&amp;CertObj&amp;CertGrant=RIGHT(LEFT($A$2,7),2)&amp;LEFT($A$92,4)&amp;$B$93&amp;S$3,CertSalary))</f>
        <v>0</v>
      </c>
      <c r="T93" s="528">
        <f t="array" ref="T93">SUM(IF(CertFund&amp;CertProg&amp;CertObj&amp;CertGrant=RIGHT(LEFT($A$2,7),2)&amp;LEFT($A$90,4)&amp;$B$93&amp;T$3,CertSalary))+SUM(IF(CertFund&amp;CertProg&amp;CertObj&amp;CertGrant=RIGHT(LEFT($A$2,7),2)&amp;LEFT($A$91,4)&amp;$B$93&amp;T$3,CertSalary))+SUM(IF(CertFund&amp;CertProg&amp;CertObj&amp;CertGrant=RIGHT(LEFT($A$2,7),2)&amp;LEFT($A$92,4)&amp;$B$93&amp;T$3,CertSalary))</f>
        <v>0</v>
      </c>
      <c r="U93" s="528">
        <f t="array" ref="U93">SUM(IF(CertFund&amp;CertProg&amp;CertObj&amp;CertGrant=RIGHT(LEFT($A$2,7),2)&amp;LEFT($A$90,4)&amp;$B$93&amp;U$3,CertSalary))+SUM(IF(CertFund&amp;CertProg&amp;CertObj&amp;CertGrant=RIGHT(LEFT($A$2,7),2)&amp;LEFT($A$91,4)&amp;$B$93&amp;U$3,CertSalary))+SUM(IF(CertFund&amp;CertProg&amp;CertObj&amp;CertGrant=RIGHT(LEFT($A$2,7),2)&amp;LEFT($A$92,4)&amp;$B$93&amp;U$3,CertSalary))</f>
        <v>0</v>
      </c>
      <c r="V93" s="528">
        <f t="array" ref="V93">SUM(IF(CertFund&amp;CertProg&amp;CertObj&amp;CertGrant=RIGHT(LEFT($A$2,7),2)&amp;LEFT($A$90,4)&amp;$B$93&amp;V$3,CertSalary))+SUM(IF(CertFund&amp;CertProg&amp;CertObj&amp;CertGrant=RIGHT(LEFT($A$2,7),2)&amp;LEFT($A$91,4)&amp;$B$93&amp;V$3,CertSalary))+SUM(IF(CertFund&amp;CertProg&amp;CertObj&amp;CertGrant=RIGHT(LEFT($A$2,7),2)&amp;LEFT($A$92,4)&amp;$B$93&amp;V$3,CertSalary))</f>
        <v>0</v>
      </c>
      <c r="W93" s="528">
        <f t="array" ref="W93">SUM(IF(CertFund&amp;CertProg&amp;CertObj&amp;CertGrant=RIGHT(LEFT($A$2,7),2)&amp;LEFT($A$90,4)&amp;$B$93&amp;W$3,CertSalary))+SUM(IF(CertFund&amp;CertProg&amp;CertObj&amp;CertGrant=RIGHT(LEFT($A$2,7),2)&amp;LEFT($A$91,4)&amp;$B$93&amp;W$3,CertSalary))+SUM(IF(CertFund&amp;CertProg&amp;CertObj&amp;CertGrant=RIGHT(LEFT($A$2,7),2)&amp;LEFT($A$92,4)&amp;$B$93&amp;W$3,CertSalary))</f>
        <v>0</v>
      </c>
      <c r="X93" s="347">
        <f t="shared" ref="X93:X102" si="16">SUM(D93:W93)</f>
        <v>0</v>
      </c>
    </row>
    <row r="94" spans="1:24" ht="11.25" x14ac:dyDescent="0.2">
      <c r="A94" s="340" t="s">
        <v>1442</v>
      </c>
      <c r="B94" s="588" t="s">
        <v>1577</v>
      </c>
      <c r="C94" s="312" t="s">
        <v>510</v>
      </c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147">
        <v>0</v>
      </c>
      <c r="J94" s="147">
        <v>0</v>
      </c>
      <c r="K94" s="147">
        <v>0</v>
      </c>
      <c r="L94" s="147">
        <v>0</v>
      </c>
      <c r="M94" s="147">
        <v>0</v>
      </c>
      <c r="N94" s="147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7">
        <v>0</v>
      </c>
      <c r="V94" s="147">
        <v>0</v>
      </c>
      <c r="W94" s="147">
        <v>0</v>
      </c>
      <c r="X94" s="341">
        <f t="shared" si="16"/>
        <v>0</v>
      </c>
    </row>
    <row r="95" spans="1:24" ht="11.25" x14ac:dyDescent="0.2">
      <c r="A95" s="340">
        <v>28</v>
      </c>
      <c r="B95" s="588" t="s">
        <v>1578</v>
      </c>
      <c r="C95" s="312" t="s">
        <v>76</v>
      </c>
      <c r="D95" s="528">
        <f t="array" ref="D95">SUM(IF(CertFund&amp;CertProg&amp;CertObj&amp;CertGrant=RIGHT(LEFT($A$2,7),2)&amp;LEFT($A$90,4)&amp;$B$93&amp;D$3,CertBen))+SUM(IF(CertFund&amp;CertProg&amp;CertObj&amp;CertGrant=RIGHT(LEFT($A$2,7),2)&amp;LEFT($A$91,4)&amp;$B$93&amp;D$3,CertBen))+SUM(IF(CertFund&amp;CertProg&amp;CertObj&amp;CertGrant=RIGHT(LEFT($A$2,7),2)&amp;LEFT($A$92,4)&amp;$B$93&amp;D$3,CertBen))</f>
        <v>0</v>
      </c>
      <c r="E95" s="528">
        <f t="array" ref="E95">SUM(IF(CertFund&amp;CertProg&amp;CertObj&amp;CertGrant=RIGHT(LEFT($A$2,7),2)&amp;LEFT($A$90,4)&amp;$B$93&amp;E$3,CertBen))+SUM(IF(CertFund&amp;CertProg&amp;CertObj&amp;CertGrant=RIGHT(LEFT($A$2,7),2)&amp;LEFT($A$91,4)&amp;$B$93&amp;E$3,CertBen))+SUM(IF(CertFund&amp;CertProg&amp;CertObj&amp;CertGrant=RIGHT(LEFT($A$2,7),2)&amp;LEFT($A$92,4)&amp;$B$93&amp;E$3,CertBen))</f>
        <v>0</v>
      </c>
      <c r="F95" s="528">
        <f t="array" ref="F95">SUM(IF(CertFund&amp;CertProg&amp;CertObj&amp;CertGrant=RIGHT(LEFT($A$2,7),2)&amp;LEFT($A$90,4)&amp;$B$93&amp;F$3,CertBen))+SUM(IF(CertFund&amp;CertProg&amp;CertObj&amp;CertGrant=RIGHT(LEFT($A$2,7),2)&amp;LEFT($A$91,4)&amp;$B$93&amp;F$3,CertBen))+SUM(IF(CertFund&amp;CertProg&amp;CertObj&amp;CertGrant=RIGHT(LEFT($A$2,7),2)&amp;LEFT($A$92,4)&amp;$B$93&amp;F$3,CertBen))</f>
        <v>0</v>
      </c>
      <c r="G95" s="528">
        <f t="array" ref="G95">SUM(IF(CertFund&amp;CertProg&amp;CertObj&amp;CertGrant=RIGHT(LEFT($A$2,7),2)&amp;LEFT($A$90,4)&amp;$B$93&amp;G$3,CertBen))+SUM(IF(CertFund&amp;CertProg&amp;CertObj&amp;CertGrant=RIGHT(LEFT($A$2,7),2)&amp;LEFT($A$91,4)&amp;$B$93&amp;G$3,CertBen))+SUM(IF(CertFund&amp;CertProg&amp;CertObj&amp;CertGrant=RIGHT(LEFT($A$2,7),2)&amp;LEFT($A$92,4)&amp;$B$93&amp;G$3,CertBen))</f>
        <v>0</v>
      </c>
      <c r="H95" s="528">
        <f t="array" ref="H95">SUM(IF(CertFund&amp;CertProg&amp;CertObj&amp;CertGrant=RIGHT(LEFT($A$2,7),2)&amp;LEFT($A$90,4)&amp;$B$93&amp;H$3,CertBen))+SUM(IF(CertFund&amp;CertProg&amp;CertObj&amp;CertGrant=RIGHT(LEFT($A$2,7),2)&amp;LEFT($A$91,4)&amp;$B$93&amp;H$3,CertBen))+SUM(IF(CertFund&amp;CertProg&amp;CertObj&amp;CertGrant=RIGHT(LEFT($A$2,7),2)&amp;LEFT($A$92,4)&amp;$B$93&amp;H$3,CertBen))</f>
        <v>0</v>
      </c>
      <c r="I95" s="528">
        <f t="array" ref="I95">SUM(IF(CertFund&amp;CertProg&amp;CertObj&amp;CertGrant=RIGHT(LEFT($A$2,7),2)&amp;LEFT($A$90,4)&amp;$B$93&amp;I$3,CertBen))+SUM(IF(CertFund&amp;CertProg&amp;CertObj&amp;CertGrant=RIGHT(LEFT($A$2,7),2)&amp;LEFT($A$91,4)&amp;$B$93&amp;I$3,CertBen))+SUM(IF(CertFund&amp;CertProg&amp;CertObj&amp;CertGrant=RIGHT(LEFT($A$2,7),2)&amp;LEFT($A$92,4)&amp;$B$93&amp;I$3,CertBen))</f>
        <v>0</v>
      </c>
      <c r="J95" s="528">
        <f t="array" ref="J95">SUM(IF(CertFund&amp;CertProg&amp;CertObj&amp;CertGrant=RIGHT(LEFT($A$2,7),2)&amp;LEFT($A$90,4)&amp;$B$93&amp;J$3,CertBen))+SUM(IF(CertFund&amp;CertProg&amp;CertObj&amp;CertGrant=RIGHT(LEFT($A$2,7),2)&amp;LEFT($A$91,4)&amp;$B$93&amp;J$3,CertBen))+SUM(IF(CertFund&amp;CertProg&amp;CertObj&amp;CertGrant=RIGHT(LEFT($A$2,7),2)&amp;LEFT($A$92,4)&amp;$B$93&amp;J$3,CertBen))</f>
        <v>0</v>
      </c>
      <c r="K95" s="528">
        <f t="array" ref="K95">SUM(IF(CertFund&amp;CertProg&amp;CertObj&amp;CertGrant=RIGHT(LEFT($A$2,7),2)&amp;LEFT($A$90,4)&amp;$B$93&amp;K$3,CertBen))+SUM(IF(CertFund&amp;CertProg&amp;CertObj&amp;CertGrant=RIGHT(LEFT($A$2,7),2)&amp;LEFT($A$91,4)&amp;$B$93&amp;K$3,CertBen))+SUM(IF(CertFund&amp;CertProg&amp;CertObj&amp;CertGrant=RIGHT(LEFT($A$2,7),2)&amp;LEFT($A$92,4)&amp;$B$93&amp;K$3,CertBen))</f>
        <v>0</v>
      </c>
      <c r="L95" s="528">
        <f t="array" ref="L95">SUM(IF(CertFund&amp;CertProg&amp;CertObj&amp;CertGrant=RIGHT(LEFT($A$2,7),2)&amp;LEFT($A$90,4)&amp;$B$93&amp;L$3,CertBen))+SUM(IF(CertFund&amp;CertProg&amp;CertObj&amp;CertGrant=RIGHT(LEFT($A$2,7),2)&amp;LEFT($A$91,4)&amp;$B$93&amp;L$3,CertBen))+SUM(IF(CertFund&amp;CertProg&amp;CertObj&amp;CertGrant=RIGHT(LEFT($A$2,7),2)&amp;LEFT($A$92,4)&amp;$B$93&amp;L$3,CertBen))</f>
        <v>0</v>
      </c>
      <c r="M95" s="528">
        <f t="array" ref="M95">SUM(IF(CertFund&amp;CertProg&amp;CertObj&amp;CertGrant=RIGHT(LEFT($A$2,7),2)&amp;LEFT($A$90,4)&amp;$B$93&amp;M$3,CertBen))+SUM(IF(CertFund&amp;CertProg&amp;CertObj&amp;CertGrant=RIGHT(LEFT($A$2,7),2)&amp;LEFT($A$91,4)&amp;$B$93&amp;M$3,CertBen))+SUM(IF(CertFund&amp;CertProg&amp;CertObj&amp;CertGrant=RIGHT(LEFT($A$2,7),2)&amp;LEFT($A$92,4)&amp;$B$93&amp;M$3,CertBen))</f>
        <v>0</v>
      </c>
      <c r="N95" s="528">
        <f t="array" ref="N95">SUM(IF(CertFund&amp;CertProg&amp;CertObj&amp;CertGrant=RIGHT(LEFT($A$2,7),2)&amp;LEFT($A$90,4)&amp;$B$93&amp;N$3,CertBen))+SUM(IF(CertFund&amp;CertProg&amp;CertObj&amp;CertGrant=RIGHT(LEFT($A$2,7),2)&amp;LEFT($A$91,4)&amp;$B$93&amp;N$3,CertBen))+SUM(IF(CertFund&amp;CertProg&amp;CertObj&amp;CertGrant=RIGHT(LEFT($A$2,7),2)&amp;LEFT($A$92,4)&amp;$B$93&amp;N$3,CertBen))</f>
        <v>0</v>
      </c>
      <c r="O95" s="528">
        <f t="array" ref="O95">SUM(IF(CertFund&amp;CertProg&amp;CertObj&amp;CertGrant=RIGHT(LEFT($A$2,7),2)&amp;LEFT($A$90,4)&amp;$B$93&amp;O$3,CertBen))+SUM(IF(CertFund&amp;CertProg&amp;CertObj&amp;CertGrant=RIGHT(LEFT($A$2,7),2)&amp;LEFT($A$91,4)&amp;$B$93&amp;O$3,CertBen))+SUM(IF(CertFund&amp;CertProg&amp;CertObj&amp;CertGrant=RIGHT(LEFT($A$2,7),2)&amp;LEFT($A$92,4)&amp;$B$93&amp;O$3,CertBen))</f>
        <v>0</v>
      </c>
      <c r="P95" s="528">
        <f t="array" ref="P95">SUM(IF(CertFund&amp;CertProg&amp;CertObj&amp;CertGrant=RIGHT(LEFT($A$2,7),2)&amp;LEFT($A$90,4)&amp;$B$93&amp;P$3,CertBen))+SUM(IF(CertFund&amp;CertProg&amp;CertObj&amp;CertGrant=RIGHT(LEFT($A$2,7),2)&amp;LEFT($A$91,4)&amp;$B$93&amp;P$3,CertBen))+SUM(IF(CertFund&amp;CertProg&amp;CertObj&amp;CertGrant=RIGHT(LEFT($A$2,7),2)&amp;LEFT($A$92,4)&amp;$B$93&amp;P$3,CertBen))</f>
        <v>0</v>
      </c>
      <c r="Q95" s="528">
        <f t="array" ref="Q95">SUM(IF(CertFund&amp;CertProg&amp;CertObj&amp;CertGrant=RIGHT(LEFT($A$2,7),2)&amp;LEFT($A$90,4)&amp;$B$93&amp;Q$3,CertBen))+SUM(IF(CertFund&amp;CertProg&amp;CertObj&amp;CertGrant=RIGHT(LEFT($A$2,7),2)&amp;LEFT($A$91,4)&amp;$B$93&amp;Q$3,CertBen))+SUM(IF(CertFund&amp;CertProg&amp;CertObj&amp;CertGrant=RIGHT(LEFT($A$2,7),2)&amp;LEFT($A$92,4)&amp;$B$93&amp;Q$3,CertBen))</f>
        <v>0</v>
      </c>
      <c r="R95" s="528">
        <f t="array" ref="R95">SUM(IF(CertFund&amp;CertProg&amp;CertObj&amp;CertGrant=RIGHT(LEFT($A$2,7),2)&amp;LEFT($A$90,4)&amp;$B$93&amp;R$3,CertBen))+SUM(IF(CertFund&amp;CertProg&amp;CertObj&amp;CertGrant=RIGHT(LEFT($A$2,7),2)&amp;LEFT($A$91,4)&amp;$B$93&amp;R$3,CertBen))+SUM(IF(CertFund&amp;CertProg&amp;CertObj&amp;CertGrant=RIGHT(LEFT($A$2,7),2)&amp;LEFT($A$92,4)&amp;$B$93&amp;R$3,CertBen))</f>
        <v>0</v>
      </c>
      <c r="S95" s="528">
        <f t="array" ref="S95">SUM(IF(CertFund&amp;CertProg&amp;CertObj&amp;CertGrant=RIGHT(LEFT($A$2,7),2)&amp;LEFT($A$90,4)&amp;$B$93&amp;S$3,CertBen))+SUM(IF(CertFund&amp;CertProg&amp;CertObj&amp;CertGrant=RIGHT(LEFT($A$2,7),2)&amp;LEFT($A$91,4)&amp;$B$93&amp;S$3,CertBen))+SUM(IF(CertFund&amp;CertProg&amp;CertObj&amp;CertGrant=RIGHT(LEFT($A$2,7),2)&amp;LEFT($A$92,4)&amp;$B$93&amp;S$3,CertBen))</f>
        <v>0</v>
      </c>
      <c r="T95" s="528">
        <f t="array" ref="T95">SUM(IF(CertFund&amp;CertProg&amp;CertObj&amp;CertGrant=RIGHT(LEFT($A$2,7),2)&amp;LEFT($A$90,4)&amp;$B$93&amp;T$3,CertBen))+SUM(IF(CertFund&amp;CertProg&amp;CertObj&amp;CertGrant=RIGHT(LEFT($A$2,7),2)&amp;LEFT($A$91,4)&amp;$B$93&amp;T$3,CertBen))+SUM(IF(CertFund&amp;CertProg&amp;CertObj&amp;CertGrant=RIGHT(LEFT($A$2,7),2)&amp;LEFT($A$92,4)&amp;$B$93&amp;T$3,CertBen))</f>
        <v>0</v>
      </c>
      <c r="U95" s="528">
        <f t="array" ref="U95">SUM(IF(CertFund&amp;CertProg&amp;CertObj&amp;CertGrant=RIGHT(LEFT($A$2,7),2)&amp;LEFT($A$90,4)&amp;$B$93&amp;U$3,CertBen))+SUM(IF(CertFund&amp;CertProg&amp;CertObj&amp;CertGrant=RIGHT(LEFT($A$2,7),2)&amp;LEFT($A$91,4)&amp;$B$93&amp;U$3,CertBen))+SUM(IF(CertFund&amp;CertProg&amp;CertObj&amp;CertGrant=RIGHT(LEFT($A$2,7),2)&amp;LEFT($A$92,4)&amp;$B$93&amp;U$3,CertBen))</f>
        <v>0</v>
      </c>
      <c r="V95" s="528">
        <f t="array" ref="V95">SUM(IF(CertFund&amp;CertProg&amp;CertObj&amp;CertGrant=RIGHT(LEFT($A$2,7),2)&amp;LEFT($A$90,4)&amp;$B$93&amp;V$3,CertBen))+SUM(IF(CertFund&amp;CertProg&amp;CertObj&amp;CertGrant=RIGHT(LEFT($A$2,7),2)&amp;LEFT($A$91,4)&amp;$B$93&amp;V$3,CertBen))+SUM(IF(CertFund&amp;CertProg&amp;CertObj&amp;CertGrant=RIGHT(LEFT($A$2,7),2)&amp;LEFT($A$92,4)&amp;$B$93&amp;V$3,CertBen))</f>
        <v>0</v>
      </c>
      <c r="W95" s="528">
        <f t="array" ref="W95">SUM(IF(CertFund&amp;CertProg&amp;CertObj&amp;CertGrant=RIGHT(LEFT($A$2,7),2)&amp;LEFT($A$90,4)&amp;$B$93&amp;W$3,CertBen))+SUM(IF(CertFund&amp;CertProg&amp;CertObj&amp;CertGrant=RIGHT(LEFT($A$2,7),2)&amp;LEFT($A$91,4)&amp;$B$93&amp;W$3,CertBen))+SUM(IF(CertFund&amp;CertProg&amp;CertObj&amp;CertGrant=RIGHT(LEFT($A$2,7),2)&amp;LEFT($A$92,4)&amp;$B$93&amp;W$3,CertBen))</f>
        <v>0</v>
      </c>
      <c r="X95" s="341">
        <f t="shared" si="16"/>
        <v>0</v>
      </c>
    </row>
    <row r="96" spans="1:24" ht="11.25" x14ac:dyDescent="0.2">
      <c r="A96" s="340" t="s">
        <v>1443</v>
      </c>
      <c r="B96" s="588" t="s">
        <v>1578</v>
      </c>
      <c r="C96" s="312" t="s">
        <v>511</v>
      </c>
      <c r="D96" s="590">
        <v>0</v>
      </c>
      <c r="E96" s="590">
        <v>0</v>
      </c>
      <c r="F96" s="590">
        <v>0</v>
      </c>
      <c r="G96" s="590">
        <v>0</v>
      </c>
      <c r="H96" s="590">
        <v>0</v>
      </c>
      <c r="I96" s="590">
        <v>0</v>
      </c>
      <c r="J96" s="590">
        <v>0</v>
      </c>
      <c r="K96" s="590">
        <v>0</v>
      </c>
      <c r="L96" s="590">
        <v>0</v>
      </c>
      <c r="M96" s="590">
        <v>0</v>
      </c>
      <c r="N96" s="590">
        <v>0</v>
      </c>
      <c r="O96" s="590">
        <v>0</v>
      </c>
      <c r="P96" s="590">
        <v>0</v>
      </c>
      <c r="Q96" s="590">
        <v>0</v>
      </c>
      <c r="R96" s="590">
        <v>0</v>
      </c>
      <c r="S96" s="590">
        <v>0</v>
      </c>
      <c r="T96" s="590">
        <v>0</v>
      </c>
      <c r="U96" s="590">
        <v>0</v>
      </c>
      <c r="V96" s="590">
        <v>0</v>
      </c>
      <c r="W96" s="590">
        <v>0</v>
      </c>
      <c r="X96" s="341">
        <f t="shared" si="16"/>
        <v>0</v>
      </c>
    </row>
    <row r="97" spans="1:24" ht="11.25" x14ac:dyDescent="0.2">
      <c r="A97" s="340">
        <v>29</v>
      </c>
      <c r="B97" s="188" t="s">
        <v>1579</v>
      </c>
      <c r="C97" s="329" t="s">
        <v>273</v>
      </c>
      <c r="D97" s="592">
        <v>0</v>
      </c>
      <c r="E97" s="592">
        <v>0</v>
      </c>
      <c r="F97" s="592">
        <v>0</v>
      </c>
      <c r="G97" s="592">
        <v>0</v>
      </c>
      <c r="H97" s="592">
        <v>0</v>
      </c>
      <c r="I97" s="592">
        <v>0</v>
      </c>
      <c r="J97" s="592">
        <v>0</v>
      </c>
      <c r="K97" s="592">
        <v>0</v>
      </c>
      <c r="L97" s="593">
        <v>0</v>
      </c>
      <c r="M97" s="593">
        <v>0</v>
      </c>
      <c r="N97" s="593">
        <v>0</v>
      </c>
      <c r="O97" s="593">
        <v>0</v>
      </c>
      <c r="P97" s="593">
        <v>0</v>
      </c>
      <c r="Q97" s="593">
        <v>0</v>
      </c>
      <c r="R97" s="593">
        <v>0</v>
      </c>
      <c r="S97" s="593">
        <v>0</v>
      </c>
      <c r="T97" s="593">
        <v>0</v>
      </c>
      <c r="U97" s="593">
        <v>0</v>
      </c>
      <c r="V97" s="593">
        <v>0</v>
      </c>
      <c r="W97" s="593">
        <v>0</v>
      </c>
      <c r="X97" s="341">
        <f t="shared" si="16"/>
        <v>0</v>
      </c>
    </row>
    <row r="98" spans="1:24" ht="11.25" x14ac:dyDescent="0.2">
      <c r="A98" s="340">
        <v>30</v>
      </c>
      <c r="B98" s="188" t="s">
        <v>1581</v>
      </c>
      <c r="C98" s="329" t="s">
        <v>274</v>
      </c>
      <c r="D98" s="592">
        <v>0</v>
      </c>
      <c r="E98" s="592">
        <v>0</v>
      </c>
      <c r="F98" s="592">
        <v>0</v>
      </c>
      <c r="G98" s="592">
        <v>0</v>
      </c>
      <c r="H98" s="592">
        <v>0</v>
      </c>
      <c r="I98" s="592">
        <v>0</v>
      </c>
      <c r="J98" s="592">
        <v>0</v>
      </c>
      <c r="K98" s="592">
        <v>0</v>
      </c>
      <c r="L98" s="593">
        <v>0</v>
      </c>
      <c r="M98" s="593">
        <v>0</v>
      </c>
      <c r="N98" s="593">
        <v>0</v>
      </c>
      <c r="O98" s="593">
        <v>0</v>
      </c>
      <c r="P98" s="593">
        <v>0</v>
      </c>
      <c r="Q98" s="593">
        <v>0</v>
      </c>
      <c r="R98" s="593">
        <v>0</v>
      </c>
      <c r="S98" s="593">
        <v>0</v>
      </c>
      <c r="T98" s="593">
        <v>0</v>
      </c>
      <c r="U98" s="593">
        <v>0</v>
      </c>
      <c r="V98" s="593">
        <v>0</v>
      </c>
      <c r="W98" s="593">
        <v>0</v>
      </c>
      <c r="X98" s="341">
        <f t="shared" si="16"/>
        <v>0</v>
      </c>
    </row>
    <row r="99" spans="1:24" ht="11.25" x14ac:dyDescent="0.2">
      <c r="A99" s="340">
        <v>31</v>
      </c>
      <c r="B99" s="188" t="s">
        <v>1582</v>
      </c>
      <c r="C99" s="329" t="s">
        <v>275</v>
      </c>
      <c r="D99" s="592">
        <v>0</v>
      </c>
      <c r="E99" s="592">
        <v>0</v>
      </c>
      <c r="F99" s="592">
        <v>0</v>
      </c>
      <c r="G99" s="592">
        <v>0</v>
      </c>
      <c r="H99" s="592">
        <v>0</v>
      </c>
      <c r="I99" s="592">
        <v>0</v>
      </c>
      <c r="J99" s="592">
        <v>0</v>
      </c>
      <c r="K99" s="592">
        <v>0</v>
      </c>
      <c r="L99" s="593">
        <v>0</v>
      </c>
      <c r="M99" s="593">
        <v>0</v>
      </c>
      <c r="N99" s="593">
        <v>0</v>
      </c>
      <c r="O99" s="593">
        <v>0</v>
      </c>
      <c r="P99" s="593">
        <v>0</v>
      </c>
      <c r="Q99" s="593">
        <v>0</v>
      </c>
      <c r="R99" s="593">
        <v>0</v>
      </c>
      <c r="S99" s="593">
        <v>0</v>
      </c>
      <c r="T99" s="593">
        <v>0</v>
      </c>
      <c r="U99" s="593">
        <v>0</v>
      </c>
      <c r="V99" s="593">
        <v>0</v>
      </c>
      <c r="W99" s="593">
        <v>0</v>
      </c>
      <c r="X99" s="341">
        <f t="shared" si="16"/>
        <v>0</v>
      </c>
    </row>
    <row r="100" spans="1:24" ht="11.25" x14ac:dyDescent="0.2">
      <c r="A100" s="340" t="s">
        <v>278</v>
      </c>
      <c r="B100" s="188" t="s">
        <v>634</v>
      </c>
      <c r="C100" s="329" t="s">
        <v>279</v>
      </c>
      <c r="D100" s="594">
        <v>0</v>
      </c>
      <c r="E100" s="592">
        <v>0</v>
      </c>
      <c r="F100" s="592">
        <v>0</v>
      </c>
      <c r="G100" s="592">
        <v>0</v>
      </c>
      <c r="H100" s="592">
        <v>0</v>
      </c>
      <c r="I100" s="592">
        <v>0</v>
      </c>
      <c r="J100" s="592">
        <v>0</v>
      </c>
      <c r="K100" s="592">
        <v>0</v>
      </c>
      <c r="L100" s="593">
        <v>0</v>
      </c>
      <c r="M100" s="593">
        <v>0</v>
      </c>
      <c r="N100" s="593">
        <v>0</v>
      </c>
      <c r="O100" s="593">
        <v>0</v>
      </c>
      <c r="P100" s="593">
        <v>0</v>
      </c>
      <c r="Q100" s="593">
        <v>0</v>
      </c>
      <c r="R100" s="593">
        <v>0</v>
      </c>
      <c r="S100" s="593">
        <v>0</v>
      </c>
      <c r="T100" s="593">
        <v>0</v>
      </c>
      <c r="U100" s="593">
        <v>0</v>
      </c>
      <c r="V100" s="593">
        <v>0</v>
      </c>
      <c r="W100" s="593">
        <v>0</v>
      </c>
      <c r="X100" s="341">
        <f t="shared" si="16"/>
        <v>0</v>
      </c>
    </row>
    <row r="101" spans="1:24" ht="11.25" x14ac:dyDescent="0.2">
      <c r="A101" s="340" t="s">
        <v>280</v>
      </c>
      <c r="B101" s="188" t="s">
        <v>630</v>
      </c>
      <c r="C101" s="329" t="s">
        <v>281</v>
      </c>
      <c r="D101" s="595">
        <v>0</v>
      </c>
      <c r="E101" s="596">
        <v>0</v>
      </c>
      <c r="F101" s="596">
        <v>0</v>
      </c>
      <c r="G101" s="596">
        <v>0</v>
      </c>
      <c r="H101" s="596">
        <v>0</v>
      </c>
      <c r="I101" s="596">
        <v>0</v>
      </c>
      <c r="J101" s="596">
        <v>0</v>
      </c>
      <c r="K101" s="596">
        <v>0</v>
      </c>
      <c r="L101" s="597">
        <v>0</v>
      </c>
      <c r="M101" s="597">
        <v>0</v>
      </c>
      <c r="N101" s="597">
        <v>0</v>
      </c>
      <c r="O101" s="597">
        <v>0</v>
      </c>
      <c r="P101" s="597">
        <v>0</v>
      </c>
      <c r="Q101" s="597">
        <v>0</v>
      </c>
      <c r="R101" s="597">
        <v>0</v>
      </c>
      <c r="S101" s="597">
        <v>0</v>
      </c>
      <c r="T101" s="597">
        <v>0</v>
      </c>
      <c r="U101" s="597">
        <v>0</v>
      </c>
      <c r="V101" s="597">
        <v>0</v>
      </c>
      <c r="W101" s="597">
        <v>0</v>
      </c>
      <c r="X101" s="341">
        <f t="shared" si="16"/>
        <v>0</v>
      </c>
    </row>
    <row r="102" spans="1:24" ht="11.25" x14ac:dyDescent="0.2">
      <c r="A102" s="340">
        <v>33</v>
      </c>
      <c r="C102" s="346" t="s">
        <v>297</v>
      </c>
      <c r="D102" s="347">
        <f>SUM(D93:D101)</f>
        <v>0</v>
      </c>
      <c r="E102" s="347">
        <f t="shared" ref="E102:W102" si="17">SUM(E93:E101)</f>
        <v>0</v>
      </c>
      <c r="F102" s="347">
        <f t="shared" si="17"/>
        <v>0</v>
      </c>
      <c r="G102" s="347">
        <f t="shared" si="17"/>
        <v>0</v>
      </c>
      <c r="H102" s="347">
        <f t="shared" si="17"/>
        <v>0</v>
      </c>
      <c r="I102" s="347">
        <f t="shared" si="17"/>
        <v>0</v>
      </c>
      <c r="J102" s="347">
        <f t="shared" si="17"/>
        <v>0</v>
      </c>
      <c r="K102" s="347">
        <f t="shared" si="17"/>
        <v>0</v>
      </c>
      <c r="L102" s="347">
        <f t="shared" si="17"/>
        <v>0</v>
      </c>
      <c r="M102" s="347">
        <f t="shared" si="17"/>
        <v>0</v>
      </c>
      <c r="N102" s="347">
        <f t="shared" si="17"/>
        <v>0</v>
      </c>
      <c r="O102" s="347">
        <f t="shared" si="17"/>
        <v>0</v>
      </c>
      <c r="P102" s="347">
        <f t="shared" si="17"/>
        <v>0</v>
      </c>
      <c r="Q102" s="347">
        <f t="shared" si="17"/>
        <v>0</v>
      </c>
      <c r="R102" s="347">
        <f t="shared" si="17"/>
        <v>0</v>
      </c>
      <c r="S102" s="347">
        <f t="shared" si="17"/>
        <v>0</v>
      </c>
      <c r="T102" s="347">
        <f t="shared" si="17"/>
        <v>0</v>
      </c>
      <c r="U102" s="347">
        <f t="shared" si="17"/>
        <v>0</v>
      </c>
      <c r="V102" s="347">
        <f t="shared" si="17"/>
        <v>0</v>
      </c>
      <c r="W102" s="347">
        <f t="shared" si="17"/>
        <v>0</v>
      </c>
      <c r="X102" s="341">
        <f t="shared" si="16"/>
        <v>0</v>
      </c>
    </row>
    <row r="103" spans="1:24" ht="11.25" x14ac:dyDescent="0.2">
      <c r="A103" s="340"/>
      <c r="C103" s="329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</row>
    <row r="104" spans="1:24" ht="11.25" x14ac:dyDescent="0.2">
      <c r="A104" s="340">
        <v>34</v>
      </c>
      <c r="C104" s="329" t="s">
        <v>282</v>
      </c>
      <c r="D104" s="598">
        <v>0</v>
      </c>
      <c r="E104" s="598">
        <v>0</v>
      </c>
      <c r="F104" s="598">
        <v>0</v>
      </c>
      <c r="G104" s="598">
        <v>0</v>
      </c>
      <c r="H104" s="598">
        <v>0</v>
      </c>
      <c r="I104" s="598">
        <v>0</v>
      </c>
      <c r="J104" s="598">
        <v>0</v>
      </c>
      <c r="K104" s="598">
        <v>0</v>
      </c>
      <c r="L104" s="598">
        <v>0</v>
      </c>
      <c r="M104" s="598">
        <v>0</v>
      </c>
      <c r="N104" s="598">
        <v>0</v>
      </c>
      <c r="O104" s="598">
        <v>0</v>
      </c>
      <c r="P104" s="598">
        <v>0</v>
      </c>
      <c r="Q104" s="598">
        <v>0</v>
      </c>
      <c r="R104" s="598">
        <v>0</v>
      </c>
      <c r="S104" s="598">
        <v>0</v>
      </c>
      <c r="T104" s="598">
        <v>0</v>
      </c>
      <c r="U104" s="598">
        <v>0</v>
      </c>
      <c r="V104" s="598">
        <v>0</v>
      </c>
      <c r="W104" s="598">
        <v>0</v>
      </c>
      <c r="X104" s="347">
        <f>SUM(D104:W104)</f>
        <v>0</v>
      </c>
    </row>
    <row r="105" spans="1:24" ht="11.25" x14ac:dyDescent="0.2">
      <c r="A105" s="340" t="s">
        <v>283</v>
      </c>
      <c r="C105" s="346" t="s">
        <v>298</v>
      </c>
      <c r="D105" s="355">
        <f>+D22+D79+D89+D102+D104+D32+D62+D42+D52</f>
        <v>0</v>
      </c>
      <c r="E105" s="355">
        <f t="shared" ref="E105:W105" si="18">+E22+E79+E89+E102+E104+E32+E62+E42+E52</f>
        <v>0</v>
      </c>
      <c r="F105" s="355">
        <f t="shared" si="18"/>
        <v>0</v>
      </c>
      <c r="G105" s="355">
        <f t="shared" si="18"/>
        <v>0</v>
      </c>
      <c r="H105" s="355">
        <f t="shared" si="18"/>
        <v>0</v>
      </c>
      <c r="I105" s="355">
        <f t="shared" si="18"/>
        <v>0</v>
      </c>
      <c r="J105" s="355">
        <f t="shared" si="18"/>
        <v>0</v>
      </c>
      <c r="K105" s="355">
        <f t="shared" si="18"/>
        <v>0</v>
      </c>
      <c r="L105" s="355">
        <f t="shared" si="18"/>
        <v>0</v>
      </c>
      <c r="M105" s="355">
        <f t="shared" si="18"/>
        <v>0</v>
      </c>
      <c r="N105" s="355">
        <f t="shared" si="18"/>
        <v>0</v>
      </c>
      <c r="O105" s="355">
        <f t="shared" si="18"/>
        <v>0</v>
      </c>
      <c r="P105" s="355">
        <f t="shared" si="18"/>
        <v>0</v>
      </c>
      <c r="Q105" s="355">
        <f t="shared" si="18"/>
        <v>0</v>
      </c>
      <c r="R105" s="355">
        <f t="shared" si="18"/>
        <v>0</v>
      </c>
      <c r="S105" s="355">
        <f t="shared" si="18"/>
        <v>0</v>
      </c>
      <c r="T105" s="355">
        <f t="shared" si="18"/>
        <v>0</v>
      </c>
      <c r="U105" s="355">
        <f t="shared" si="18"/>
        <v>0</v>
      </c>
      <c r="V105" s="355">
        <f t="shared" si="18"/>
        <v>0</v>
      </c>
      <c r="W105" s="355">
        <f t="shared" si="18"/>
        <v>0</v>
      </c>
      <c r="X105" s="341">
        <f>SUM(D105:W105)</f>
        <v>0</v>
      </c>
    </row>
    <row r="106" spans="1:24" ht="11.25" x14ac:dyDescent="0.2">
      <c r="A106" s="340" t="s">
        <v>284</v>
      </c>
      <c r="B106" s="188" t="s">
        <v>630</v>
      </c>
      <c r="C106" s="329" t="s">
        <v>285</v>
      </c>
      <c r="D106" s="592">
        <v>0</v>
      </c>
      <c r="E106" s="592">
        <v>0</v>
      </c>
      <c r="F106" s="592">
        <v>0</v>
      </c>
      <c r="G106" s="592">
        <v>0</v>
      </c>
      <c r="H106" s="592">
        <v>0</v>
      </c>
      <c r="I106" s="592">
        <v>0</v>
      </c>
      <c r="J106" s="592">
        <v>0</v>
      </c>
      <c r="K106" s="592">
        <v>0</v>
      </c>
      <c r="L106" s="592">
        <v>0</v>
      </c>
      <c r="M106" s="592">
        <v>0</v>
      </c>
      <c r="N106" s="592">
        <v>0</v>
      </c>
      <c r="O106" s="592">
        <v>0</v>
      </c>
      <c r="P106" s="592">
        <v>0</v>
      </c>
      <c r="Q106" s="592">
        <v>0</v>
      </c>
      <c r="R106" s="592">
        <v>0</v>
      </c>
      <c r="S106" s="592">
        <v>0</v>
      </c>
      <c r="T106" s="592">
        <v>0</v>
      </c>
      <c r="U106" s="592">
        <v>0</v>
      </c>
      <c r="V106" s="592">
        <v>0</v>
      </c>
      <c r="W106" s="592">
        <v>0</v>
      </c>
      <c r="X106" s="341">
        <f>SUM(D106:W106)</f>
        <v>0</v>
      </c>
    </row>
    <row r="107" spans="1:24" ht="11.25" x14ac:dyDescent="0.2">
      <c r="A107" s="340" t="s">
        <v>286</v>
      </c>
      <c r="B107" s="188" t="s">
        <v>634</v>
      </c>
      <c r="C107" s="329" t="s">
        <v>288</v>
      </c>
      <c r="D107" s="592">
        <v>0</v>
      </c>
      <c r="E107" s="592">
        <v>0</v>
      </c>
      <c r="F107" s="592">
        <v>0</v>
      </c>
      <c r="G107" s="592">
        <v>0</v>
      </c>
      <c r="H107" s="592">
        <v>0</v>
      </c>
      <c r="I107" s="592">
        <v>0</v>
      </c>
      <c r="J107" s="592">
        <v>0</v>
      </c>
      <c r="K107" s="592">
        <v>0</v>
      </c>
      <c r="L107" s="592">
        <v>0</v>
      </c>
      <c r="M107" s="592">
        <v>0</v>
      </c>
      <c r="N107" s="592">
        <v>0</v>
      </c>
      <c r="O107" s="592">
        <v>0</v>
      </c>
      <c r="P107" s="592">
        <v>0</v>
      </c>
      <c r="Q107" s="592">
        <v>0</v>
      </c>
      <c r="R107" s="592">
        <v>0</v>
      </c>
      <c r="S107" s="592">
        <v>0</v>
      </c>
      <c r="T107" s="592">
        <v>0</v>
      </c>
      <c r="U107" s="592">
        <v>0</v>
      </c>
      <c r="V107" s="592">
        <v>0</v>
      </c>
      <c r="W107" s="592">
        <v>0</v>
      </c>
      <c r="X107" s="341">
        <f>SUM(D107:W107)</f>
        <v>0</v>
      </c>
    </row>
    <row r="108" spans="1:24" ht="11.25" x14ac:dyDescent="0.2">
      <c r="A108" s="340" t="s">
        <v>289</v>
      </c>
      <c r="C108" s="346" t="s">
        <v>290</v>
      </c>
      <c r="D108" s="354">
        <f>+D105+D106+D107</f>
        <v>0</v>
      </c>
      <c r="E108" s="354">
        <f t="shared" ref="E108:W108" si="19">+E105+E106+E107</f>
        <v>0</v>
      </c>
      <c r="F108" s="354">
        <f t="shared" si="19"/>
        <v>0</v>
      </c>
      <c r="G108" s="354">
        <f t="shared" si="19"/>
        <v>0</v>
      </c>
      <c r="H108" s="354">
        <f t="shared" si="19"/>
        <v>0</v>
      </c>
      <c r="I108" s="354">
        <f t="shared" si="19"/>
        <v>0</v>
      </c>
      <c r="J108" s="354">
        <f t="shared" si="19"/>
        <v>0</v>
      </c>
      <c r="K108" s="354">
        <f t="shared" si="19"/>
        <v>0</v>
      </c>
      <c r="L108" s="354">
        <f t="shared" si="19"/>
        <v>0</v>
      </c>
      <c r="M108" s="354">
        <f t="shared" si="19"/>
        <v>0</v>
      </c>
      <c r="N108" s="354">
        <f t="shared" si="19"/>
        <v>0</v>
      </c>
      <c r="O108" s="354">
        <f t="shared" si="19"/>
        <v>0</v>
      </c>
      <c r="P108" s="354">
        <f t="shared" si="19"/>
        <v>0</v>
      </c>
      <c r="Q108" s="354">
        <f t="shared" si="19"/>
        <v>0</v>
      </c>
      <c r="R108" s="354">
        <f t="shared" si="19"/>
        <v>0</v>
      </c>
      <c r="S108" s="354">
        <f t="shared" si="19"/>
        <v>0</v>
      </c>
      <c r="T108" s="354">
        <f t="shared" si="19"/>
        <v>0</v>
      </c>
      <c r="U108" s="354">
        <f t="shared" si="19"/>
        <v>0</v>
      </c>
      <c r="V108" s="354">
        <f t="shared" si="19"/>
        <v>0</v>
      </c>
      <c r="W108" s="354">
        <f t="shared" si="19"/>
        <v>0</v>
      </c>
      <c r="X108" s="341">
        <f>SUM(D108:W108)</f>
        <v>0</v>
      </c>
    </row>
    <row r="109" spans="1:24" ht="11.25" x14ac:dyDescent="0.2">
      <c r="A109" s="340">
        <v>36</v>
      </c>
      <c r="C109" s="329" t="s">
        <v>1574</v>
      </c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41"/>
    </row>
    <row r="110" spans="1:24" ht="11.25" x14ac:dyDescent="0.2">
      <c r="A110" s="340">
        <v>37</v>
      </c>
      <c r="B110" s="188"/>
      <c r="C110" s="346"/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41"/>
    </row>
    <row r="111" spans="1:24" ht="11.25" x14ac:dyDescent="0.2">
      <c r="A111" s="340" t="s">
        <v>291</v>
      </c>
      <c r="B111" s="188" t="s">
        <v>632</v>
      </c>
      <c r="C111" s="346" t="s">
        <v>1631</v>
      </c>
      <c r="D111" s="599">
        <v>0</v>
      </c>
      <c r="E111" s="599">
        <v>0</v>
      </c>
      <c r="F111" s="599">
        <v>0</v>
      </c>
      <c r="G111" s="599">
        <v>0</v>
      </c>
      <c r="H111" s="599">
        <v>0</v>
      </c>
      <c r="I111" s="599">
        <v>0</v>
      </c>
      <c r="J111" s="599">
        <v>0</v>
      </c>
      <c r="K111" s="599">
        <v>0</v>
      </c>
      <c r="L111" s="599">
        <v>0</v>
      </c>
      <c r="M111" s="599">
        <v>0</v>
      </c>
      <c r="N111" s="599">
        <v>0</v>
      </c>
      <c r="O111" s="599">
        <v>0</v>
      </c>
      <c r="P111" s="599">
        <v>0</v>
      </c>
      <c r="Q111" s="599">
        <v>0</v>
      </c>
      <c r="R111" s="599">
        <v>0</v>
      </c>
      <c r="S111" s="599">
        <v>0</v>
      </c>
      <c r="T111" s="599">
        <v>0</v>
      </c>
      <c r="U111" s="599">
        <v>0</v>
      </c>
      <c r="V111" s="599">
        <v>0</v>
      </c>
      <c r="W111" s="599">
        <v>0</v>
      </c>
      <c r="X111" s="341">
        <f>SUM(D111:W111)</f>
        <v>0</v>
      </c>
    </row>
    <row r="112" spans="1:24" ht="11.25" x14ac:dyDescent="0.2">
      <c r="A112" s="340" t="s">
        <v>292</v>
      </c>
      <c r="B112" s="188" t="s">
        <v>634</v>
      </c>
      <c r="C112" s="329" t="s">
        <v>293</v>
      </c>
      <c r="D112" s="596">
        <v>0</v>
      </c>
      <c r="E112" s="596">
        <v>0</v>
      </c>
      <c r="F112" s="596">
        <v>0</v>
      </c>
      <c r="G112" s="596">
        <v>0</v>
      </c>
      <c r="H112" s="596">
        <v>0</v>
      </c>
      <c r="I112" s="596">
        <v>0</v>
      </c>
      <c r="J112" s="596">
        <v>0</v>
      </c>
      <c r="K112" s="596">
        <v>0</v>
      </c>
      <c r="L112" s="596">
        <v>0</v>
      </c>
      <c r="M112" s="596">
        <v>0</v>
      </c>
      <c r="N112" s="596">
        <v>0</v>
      </c>
      <c r="O112" s="596">
        <v>0</v>
      </c>
      <c r="P112" s="596">
        <v>0</v>
      </c>
      <c r="Q112" s="596">
        <v>0</v>
      </c>
      <c r="R112" s="596">
        <v>0</v>
      </c>
      <c r="S112" s="596">
        <v>0</v>
      </c>
      <c r="T112" s="596">
        <v>0</v>
      </c>
      <c r="U112" s="596">
        <v>0</v>
      </c>
      <c r="V112" s="596">
        <v>0</v>
      </c>
      <c r="W112" s="596">
        <v>0</v>
      </c>
      <c r="X112" s="341">
        <f>SUM(D112:W112)</f>
        <v>0</v>
      </c>
    </row>
    <row r="113" spans="1:24" ht="11.25" x14ac:dyDescent="0.2">
      <c r="A113" s="340">
        <v>39</v>
      </c>
      <c r="C113" s="346" t="s">
        <v>299</v>
      </c>
      <c r="D113" s="347">
        <f>+D108+D111+D112</f>
        <v>0</v>
      </c>
      <c r="E113" s="347">
        <f t="shared" ref="E113:W113" si="20">+E108+E111+E112</f>
        <v>0</v>
      </c>
      <c r="F113" s="347">
        <f t="shared" si="20"/>
        <v>0</v>
      </c>
      <c r="G113" s="347">
        <f t="shared" si="20"/>
        <v>0</v>
      </c>
      <c r="H113" s="347">
        <f t="shared" si="20"/>
        <v>0</v>
      </c>
      <c r="I113" s="347">
        <f t="shared" si="20"/>
        <v>0</v>
      </c>
      <c r="J113" s="347">
        <f t="shared" si="20"/>
        <v>0</v>
      </c>
      <c r="K113" s="347">
        <f t="shared" si="20"/>
        <v>0</v>
      </c>
      <c r="L113" s="347">
        <f t="shared" si="20"/>
        <v>0</v>
      </c>
      <c r="M113" s="347">
        <f t="shared" si="20"/>
        <v>0</v>
      </c>
      <c r="N113" s="347">
        <f t="shared" si="20"/>
        <v>0</v>
      </c>
      <c r="O113" s="347">
        <f t="shared" si="20"/>
        <v>0</v>
      </c>
      <c r="P113" s="347">
        <f t="shared" si="20"/>
        <v>0</v>
      </c>
      <c r="Q113" s="347">
        <f t="shared" si="20"/>
        <v>0</v>
      </c>
      <c r="R113" s="347">
        <f t="shared" si="20"/>
        <v>0</v>
      </c>
      <c r="S113" s="347">
        <f t="shared" si="20"/>
        <v>0</v>
      </c>
      <c r="T113" s="347">
        <f t="shared" si="20"/>
        <v>0</v>
      </c>
      <c r="U113" s="347">
        <f t="shared" si="20"/>
        <v>0</v>
      </c>
      <c r="V113" s="347">
        <f t="shared" si="20"/>
        <v>0</v>
      </c>
      <c r="W113" s="347">
        <f t="shared" si="20"/>
        <v>0</v>
      </c>
      <c r="X113" s="341">
        <f>SUM(D113:W113)</f>
        <v>0</v>
      </c>
    </row>
    <row r="114" spans="1:24" x14ac:dyDescent="0.15">
      <c r="A114" s="358"/>
      <c r="C114" s="359"/>
      <c r="D114" s="360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2"/>
    </row>
    <row r="115" spans="1:24" ht="11.25" x14ac:dyDescent="0.2">
      <c r="A115" s="340">
        <v>40</v>
      </c>
      <c r="C115" s="346" t="s">
        <v>300</v>
      </c>
      <c r="D115" s="347">
        <f>+D12</f>
        <v>0</v>
      </c>
      <c r="E115" s="347">
        <f t="shared" ref="E115:W115" si="21">+E12</f>
        <v>0</v>
      </c>
      <c r="F115" s="347">
        <f t="shared" si="21"/>
        <v>0</v>
      </c>
      <c r="G115" s="347">
        <f t="shared" si="21"/>
        <v>0</v>
      </c>
      <c r="H115" s="347">
        <f t="shared" si="21"/>
        <v>0</v>
      </c>
      <c r="I115" s="347">
        <f t="shared" si="21"/>
        <v>0</v>
      </c>
      <c r="J115" s="347">
        <f t="shared" si="21"/>
        <v>0</v>
      </c>
      <c r="K115" s="347">
        <f t="shared" si="21"/>
        <v>0</v>
      </c>
      <c r="L115" s="347">
        <f t="shared" si="21"/>
        <v>0</v>
      </c>
      <c r="M115" s="347">
        <f t="shared" si="21"/>
        <v>0</v>
      </c>
      <c r="N115" s="347">
        <f t="shared" si="21"/>
        <v>0</v>
      </c>
      <c r="O115" s="347">
        <f t="shared" si="21"/>
        <v>0</v>
      </c>
      <c r="P115" s="347">
        <f t="shared" si="21"/>
        <v>0</v>
      </c>
      <c r="Q115" s="347">
        <f t="shared" si="21"/>
        <v>0</v>
      </c>
      <c r="R115" s="347">
        <f t="shared" si="21"/>
        <v>0</v>
      </c>
      <c r="S115" s="347">
        <f t="shared" si="21"/>
        <v>0</v>
      </c>
      <c r="T115" s="347">
        <f t="shared" si="21"/>
        <v>0</v>
      </c>
      <c r="U115" s="347">
        <f t="shared" si="21"/>
        <v>0</v>
      </c>
      <c r="V115" s="347">
        <f t="shared" si="21"/>
        <v>0</v>
      </c>
      <c r="W115" s="347">
        <f t="shared" si="21"/>
        <v>0</v>
      </c>
      <c r="X115" s="347">
        <f>SUM(D115:W115)</f>
        <v>0</v>
      </c>
    </row>
    <row r="116" spans="1:24" x14ac:dyDescent="0.15">
      <c r="A116" s="358"/>
      <c r="C116" s="359"/>
      <c r="D116" s="360" t="s">
        <v>432</v>
      </c>
      <c r="E116" s="360" t="s">
        <v>432</v>
      </c>
      <c r="F116" s="360" t="s">
        <v>432</v>
      </c>
      <c r="G116" s="360" t="s">
        <v>432</v>
      </c>
      <c r="H116" s="360" t="s">
        <v>432</v>
      </c>
      <c r="I116" s="360" t="s">
        <v>432</v>
      </c>
      <c r="J116" s="360" t="s">
        <v>432</v>
      </c>
      <c r="K116" s="360" t="s">
        <v>432</v>
      </c>
      <c r="L116" s="360" t="s">
        <v>432</v>
      </c>
      <c r="M116" s="360" t="s">
        <v>432</v>
      </c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</row>
    <row r="117" spans="1:24" ht="11.25" x14ac:dyDescent="0.2">
      <c r="A117" s="340">
        <v>41</v>
      </c>
      <c r="C117" s="346" t="s">
        <v>301</v>
      </c>
      <c r="D117" s="363">
        <f>+D115-D113</f>
        <v>0</v>
      </c>
      <c r="E117" s="363">
        <f t="shared" ref="E117:W117" si="22">+E115-E113</f>
        <v>0</v>
      </c>
      <c r="F117" s="363">
        <f t="shared" si="22"/>
        <v>0</v>
      </c>
      <c r="G117" s="363">
        <f t="shared" si="22"/>
        <v>0</v>
      </c>
      <c r="H117" s="363">
        <f t="shared" si="22"/>
        <v>0</v>
      </c>
      <c r="I117" s="363">
        <f t="shared" si="22"/>
        <v>0</v>
      </c>
      <c r="J117" s="363">
        <f t="shared" si="22"/>
        <v>0</v>
      </c>
      <c r="K117" s="363">
        <f t="shared" si="22"/>
        <v>0</v>
      </c>
      <c r="L117" s="363">
        <f t="shared" si="22"/>
        <v>0</v>
      </c>
      <c r="M117" s="363">
        <f t="shared" si="22"/>
        <v>0</v>
      </c>
      <c r="N117" s="363">
        <f t="shared" si="22"/>
        <v>0</v>
      </c>
      <c r="O117" s="363">
        <f t="shared" si="22"/>
        <v>0</v>
      </c>
      <c r="P117" s="363">
        <f t="shared" si="22"/>
        <v>0</v>
      </c>
      <c r="Q117" s="363">
        <f t="shared" si="22"/>
        <v>0</v>
      </c>
      <c r="R117" s="363">
        <f t="shared" si="22"/>
        <v>0</v>
      </c>
      <c r="S117" s="363">
        <f t="shared" si="22"/>
        <v>0</v>
      </c>
      <c r="T117" s="363">
        <f t="shared" si="22"/>
        <v>0</v>
      </c>
      <c r="U117" s="363">
        <f t="shared" si="22"/>
        <v>0</v>
      </c>
      <c r="V117" s="363">
        <f t="shared" si="22"/>
        <v>0</v>
      </c>
      <c r="W117" s="363">
        <f t="shared" si="22"/>
        <v>0</v>
      </c>
      <c r="X117" s="347">
        <f>SUM(D117:W117)</f>
        <v>0</v>
      </c>
    </row>
    <row r="118" spans="1:24" ht="11.25" x14ac:dyDescent="0.2">
      <c r="A118" s="364"/>
      <c r="C118" s="346"/>
      <c r="D118" s="365"/>
      <c r="E118" s="365"/>
      <c r="F118" s="365"/>
      <c r="G118" s="365"/>
      <c r="H118" s="365"/>
      <c r="I118" s="365"/>
      <c r="J118" s="365"/>
      <c r="K118" s="365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47"/>
    </row>
    <row r="119" spans="1:24" x14ac:dyDescent="0.15">
      <c r="A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</row>
  </sheetData>
  <sheetProtection password="CB03" sheet="1" objects="1" scenarios="1" formatColumns="0" formatRows="0"/>
  <phoneticPr fontId="0" type="noConversion"/>
  <dataValidations count="1">
    <dataValidation type="whole" allowBlank="1" showInputMessage="1" showErrorMessage="1" errorTitle="Grant Code" error="Must be between 0000 and 9999" sqref="D3:W3">
      <formula1>0</formula1>
      <formula2>9999</formula2>
    </dataValidation>
  </dataValidations>
  <pageMargins left="0.75" right="0.75" top="1" bottom="1" header="0.5" footer="0.5"/>
  <pageSetup paperSize="5" scale="58" fitToWidth="2" fitToHeight="2" orientation="landscape" r:id="rId1"/>
  <headerFooter alignWithMargins="0">
    <oddFooter>&amp;LCDE, Public School Finance Unit&amp;C&amp;P&amp;RRevised, March 2009</oddFooter>
  </headerFooter>
  <rowBreaks count="1" manualBreakCount="1">
    <brk id="62" max="23" man="1"/>
  </rowBreaks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198"/>
  <sheetViews>
    <sheetView zoomScaleNormal="100" workbookViewId="0">
      <selection activeCell="A5" sqref="A5"/>
    </sheetView>
  </sheetViews>
  <sheetFormatPr defaultRowHeight="10.5" x14ac:dyDescent="0.15"/>
  <cols>
    <col min="1" max="1" width="15.33203125" style="158" customWidth="1"/>
    <col min="2" max="2" width="5.83203125" style="158" customWidth="1"/>
    <col min="3" max="3" width="74.6640625" style="158" customWidth="1"/>
    <col min="4" max="4" width="5.33203125" style="158" customWidth="1"/>
    <col min="5" max="5" width="15.83203125" customWidth="1"/>
    <col min="6" max="6" width="17" style="158" customWidth="1"/>
    <col min="7" max="7" width="16.83203125" style="158" customWidth="1"/>
    <col min="8" max="8" width="16.33203125" style="158" customWidth="1"/>
    <col min="9" max="9" width="15.33203125" style="158" customWidth="1"/>
    <col min="10" max="10" width="14.33203125" style="158" customWidth="1"/>
    <col min="11" max="16384" width="9.33203125" style="158"/>
  </cols>
  <sheetData>
    <row r="1" spans="1:10" x14ac:dyDescent="0.15">
      <c r="A1" s="158" t="s">
        <v>106</v>
      </c>
      <c r="C1" s="163">
        <v>0</v>
      </c>
      <c r="D1" s="163"/>
      <c r="E1" s="158" t="s">
        <v>1586</v>
      </c>
      <c r="F1" s="164">
        <v>0</v>
      </c>
      <c r="G1" s="165"/>
      <c r="H1" s="38" t="s">
        <v>1588</v>
      </c>
    </row>
    <row r="2" spans="1:10" x14ac:dyDescent="0.15">
      <c r="A2" s="15" t="s">
        <v>971</v>
      </c>
    </row>
    <row r="3" spans="1:10" ht="42" x14ac:dyDescent="0.15">
      <c r="E3" s="166" t="s">
        <v>1447</v>
      </c>
      <c r="F3" s="166" t="s">
        <v>1448</v>
      </c>
      <c r="G3" s="166" t="s">
        <v>1449</v>
      </c>
      <c r="H3" s="166" t="s">
        <v>1450</v>
      </c>
      <c r="I3" s="166" t="s">
        <v>1451</v>
      </c>
      <c r="J3" s="166" t="s">
        <v>1452</v>
      </c>
    </row>
    <row r="4" spans="1:10" ht="52.5" x14ac:dyDescent="0.15">
      <c r="E4" s="166"/>
      <c r="F4" s="166"/>
      <c r="G4" s="166"/>
      <c r="H4" s="166"/>
      <c r="I4" s="251" t="s">
        <v>193</v>
      </c>
      <c r="J4" s="251" t="s">
        <v>192</v>
      </c>
    </row>
    <row r="5" spans="1:10" ht="11.25" thickBot="1" x14ac:dyDescent="0.2">
      <c r="E5" s="166"/>
      <c r="F5" s="166"/>
      <c r="G5" s="166"/>
      <c r="H5" s="166"/>
      <c r="J5" s="167"/>
    </row>
    <row r="6" spans="1:10" ht="11.25" thickBot="1" x14ac:dyDescent="0.2">
      <c r="A6" s="35" t="s">
        <v>1589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171">
        <f>H6+I6</f>
        <v>0</v>
      </c>
    </row>
    <row r="7" spans="1:10" x14ac:dyDescent="0.15">
      <c r="A7" s="18"/>
      <c r="C7" s="209" t="s">
        <v>196</v>
      </c>
      <c r="F7" s="159"/>
      <c r="G7" s="8"/>
      <c r="J7" s="167"/>
    </row>
    <row r="8" spans="1:10" x14ac:dyDescent="0.15">
      <c r="A8" s="35" t="s">
        <v>203</v>
      </c>
      <c r="B8" s="159"/>
      <c r="C8" s="35" t="s">
        <v>1189</v>
      </c>
      <c r="D8" s="35"/>
      <c r="F8" s="159"/>
      <c r="G8" s="8"/>
      <c r="J8" s="167"/>
    </row>
    <row r="9" spans="1:10" x14ac:dyDescent="0.15">
      <c r="C9" s="40" t="s">
        <v>204</v>
      </c>
      <c r="D9" s="40"/>
      <c r="F9" s="177"/>
      <c r="G9" s="159"/>
      <c r="J9" s="167"/>
    </row>
    <row r="10" spans="1:10" x14ac:dyDescent="0.15">
      <c r="A10" s="379" t="e">
        <f>HLOOKUP(201,'Fund 20 Grants'!$D$2:$W$3,2,FALSE)</f>
        <v>#N/A</v>
      </c>
      <c r="B10" s="380"/>
      <c r="C10" s="381" t="e">
        <f>HLOOKUP(201,'Fund 20 Grants'!$D$2:$W$4,3,FALSE)</f>
        <v>#N/A</v>
      </c>
      <c r="D10" s="115"/>
      <c r="E10" s="41">
        <v>0</v>
      </c>
      <c r="F10" s="41">
        <v>0</v>
      </c>
      <c r="G10" s="41">
        <v>0</v>
      </c>
      <c r="H10" s="383">
        <f>IF(ISERROR(HLOOKUP(201,'Fund 20 Grants'!$D$2:$W$12,11,FALSE)),0,(HLOOKUP(201,'Fund 20 Grants'!$D$2:$W$12,11,FALSE)))</f>
        <v>0</v>
      </c>
      <c r="I10" s="41">
        <v>0</v>
      </c>
      <c r="J10" s="564">
        <f t="shared" ref="J10:J21" si="0">H10+I10</f>
        <v>0</v>
      </c>
    </row>
    <row r="11" spans="1:10" x14ac:dyDescent="0.15">
      <c r="A11" s="379" t="e">
        <f>HLOOKUP(202,'Fund 20 Grants'!$D$2:$W$3,2,FALSE)</f>
        <v>#N/A</v>
      </c>
      <c r="B11" s="380"/>
      <c r="C11" s="381" t="e">
        <f>HLOOKUP(202,'Fund 20 Grants'!$D$2:$W$4,3,FALSE)</f>
        <v>#N/A</v>
      </c>
      <c r="D11" s="115"/>
      <c r="E11" s="41">
        <v>0</v>
      </c>
      <c r="F11" s="41">
        <v>0</v>
      </c>
      <c r="G11" s="41">
        <v>0</v>
      </c>
      <c r="H11" s="383">
        <f>IF(ISERROR(HLOOKUP(202,'Fund 20 Grants'!$D$2:$W$12,11,FALSE)),0,(HLOOKUP(202,'Fund 20 Grants'!$D$2:$W$12,11,FALSE)))</f>
        <v>0</v>
      </c>
      <c r="I11" s="41">
        <v>0</v>
      </c>
      <c r="J11" s="564">
        <f t="shared" si="0"/>
        <v>0</v>
      </c>
    </row>
    <row r="12" spans="1:10" x14ac:dyDescent="0.15">
      <c r="A12" s="379" t="e">
        <f>HLOOKUP(203,'Fund 20 Grants'!$D$2:$W$3,2,FALSE)</f>
        <v>#N/A</v>
      </c>
      <c r="B12" s="380"/>
      <c r="C12" s="381" t="e">
        <f>HLOOKUP(203,'Fund 20 Grants'!$D$2:$W$4,3,FALSE)</f>
        <v>#N/A</v>
      </c>
      <c r="D12" s="115"/>
      <c r="E12" s="41">
        <v>0</v>
      </c>
      <c r="F12" s="41">
        <v>0</v>
      </c>
      <c r="G12" s="41">
        <v>0</v>
      </c>
      <c r="H12" s="383">
        <f>IF(ISERROR(HLOOKUP(203,'Fund 20 Grants'!$D$2:$W$12,11,FALSE)),0,(HLOOKUP(203,'Fund 20 Grants'!$D$2:$W$12,11,FALSE)))</f>
        <v>0</v>
      </c>
      <c r="I12" s="41">
        <v>0</v>
      </c>
      <c r="J12" s="564">
        <f t="shared" si="0"/>
        <v>0</v>
      </c>
    </row>
    <row r="13" spans="1:10" x14ac:dyDescent="0.15">
      <c r="A13" s="379" t="e">
        <f>HLOOKUP(204,'Fund 20 Grants'!$D$2:$W$3,2,FALSE)</f>
        <v>#N/A</v>
      </c>
      <c r="B13" s="380"/>
      <c r="C13" s="381" t="e">
        <f>HLOOKUP(204,'Fund 20 Grants'!$D$2:$W$4,3,FALSE)</f>
        <v>#N/A</v>
      </c>
      <c r="D13" s="115"/>
      <c r="E13" s="41">
        <v>0</v>
      </c>
      <c r="F13" s="41">
        <v>0</v>
      </c>
      <c r="G13" s="41">
        <v>0</v>
      </c>
      <c r="H13" s="383">
        <f>IF(ISERROR(HLOOKUP(204,'Fund 20 Grants'!$D$2:$W$12,11,FALSE)),0,(HLOOKUP(204,'Fund 20 Grants'!$D$2:$W$12,11,FALSE)))</f>
        <v>0</v>
      </c>
      <c r="I13" s="41">
        <v>0</v>
      </c>
      <c r="J13" s="564">
        <f t="shared" si="0"/>
        <v>0</v>
      </c>
    </row>
    <row r="14" spans="1:10" x14ac:dyDescent="0.15">
      <c r="A14" s="379" t="e">
        <f>HLOOKUP(205,'Fund 20 Grants'!$D$2:$W$3,2,FALSE)</f>
        <v>#N/A</v>
      </c>
      <c r="B14" s="380"/>
      <c r="C14" s="381" t="e">
        <f>HLOOKUP(205,'Fund 20 Grants'!$D$2:$W$4,3,FALSE)</f>
        <v>#N/A</v>
      </c>
      <c r="D14" s="115"/>
      <c r="E14" s="41">
        <v>0</v>
      </c>
      <c r="F14" s="41">
        <v>0</v>
      </c>
      <c r="G14" s="41">
        <v>0</v>
      </c>
      <c r="H14" s="383">
        <f>IF(ISERROR(HLOOKUP(205,'Fund 20 Grants'!$D$2:$W$12,11,FALSE)),0,(HLOOKUP(205,'Fund 20 Grants'!$D$2:$W$12,11,FALSE)))</f>
        <v>0</v>
      </c>
      <c r="I14" s="41">
        <v>0</v>
      </c>
      <c r="J14" s="564">
        <f t="shared" si="0"/>
        <v>0</v>
      </c>
    </row>
    <row r="15" spans="1:10" x14ac:dyDescent="0.15">
      <c r="A15" s="379" t="e">
        <f>HLOOKUP(206,'Fund 20 Grants'!$D$2:$W$3,2,FALSE)</f>
        <v>#N/A</v>
      </c>
      <c r="B15" s="380"/>
      <c r="C15" s="381" t="e">
        <f>HLOOKUP(206,'Fund 20 Grants'!$D$2:$W$4,3,FALSE)</f>
        <v>#N/A</v>
      </c>
      <c r="D15" s="115"/>
      <c r="E15" s="41">
        <v>0</v>
      </c>
      <c r="F15" s="41">
        <v>0</v>
      </c>
      <c r="G15" s="41">
        <v>0</v>
      </c>
      <c r="H15" s="383">
        <f>IF(ISERROR(HLOOKUP(206,'Fund 20 Grants'!$D$2:$W$12,11,FALSE)),0,(HLOOKUP(206,'Fund 20 Grants'!$D$2:$W$12,11,FALSE)))</f>
        <v>0</v>
      </c>
      <c r="I15" s="41">
        <v>0</v>
      </c>
      <c r="J15" s="564">
        <f t="shared" si="0"/>
        <v>0</v>
      </c>
    </row>
    <row r="16" spans="1:10" x14ac:dyDescent="0.15">
      <c r="A16" s="379" t="e">
        <f>HLOOKUP(207,'Fund 20 Grants'!$D$2:$W$3,2,FALSE)</f>
        <v>#N/A</v>
      </c>
      <c r="B16" s="380"/>
      <c r="C16" s="381" t="e">
        <f>HLOOKUP(207,'Fund 20 Grants'!$D$2:$W$4,3,FALSE)</f>
        <v>#N/A</v>
      </c>
      <c r="D16" s="115"/>
      <c r="E16" s="41">
        <v>0</v>
      </c>
      <c r="F16" s="41">
        <v>0</v>
      </c>
      <c r="G16" s="41">
        <v>0</v>
      </c>
      <c r="H16" s="383">
        <f>IF(ISERROR(HLOOKUP(207,'Fund 20 Grants'!$D$2:$W$12,11,FALSE)),0,(HLOOKUP(207,'Fund 20 Grants'!$D$2:$W$12,11,FALSE)))</f>
        <v>0</v>
      </c>
      <c r="I16" s="41">
        <v>0</v>
      </c>
      <c r="J16" s="564">
        <f t="shared" si="0"/>
        <v>0</v>
      </c>
    </row>
    <row r="17" spans="1:10" x14ac:dyDescent="0.15">
      <c r="A17" s="379" t="e">
        <f>HLOOKUP(208,'Fund 20 Grants'!$D$2:$W$3,2,FALSE)</f>
        <v>#N/A</v>
      </c>
      <c r="B17" s="380"/>
      <c r="C17" s="381" t="e">
        <f>HLOOKUP(208,'Fund 20 Grants'!$D$2:$W$4,3,FALSE)</f>
        <v>#N/A</v>
      </c>
      <c r="D17" s="115"/>
      <c r="E17" s="41">
        <v>0</v>
      </c>
      <c r="F17" s="41">
        <v>0</v>
      </c>
      <c r="G17" s="41">
        <v>0</v>
      </c>
      <c r="H17" s="383">
        <f>IF(ISERROR(HLOOKUP(208,'Fund 20 Grants'!$D$2:$W$12,11,FALSE)),0,(HLOOKUP(208,'Fund 20 Grants'!$D$2:$W$12,11,FALSE)))</f>
        <v>0</v>
      </c>
      <c r="I17" s="41">
        <v>0</v>
      </c>
      <c r="J17" s="564">
        <f t="shared" si="0"/>
        <v>0</v>
      </c>
    </row>
    <row r="18" spans="1:10" x14ac:dyDescent="0.15">
      <c r="A18" s="379" t="e">
        <f>HLOOKUP(209,'Fund 20 Grants'!$D$2:$W$3,2,FALSE)</f>
        <v>#N/A</v>
      </c>
      <c r="B18" s="380"/>
      <c r="C18" s="381" t="e">
        <f>HLOOKUP(209,'Fund 20 Grants'!$D$2:$W$4,3,FALSE)</f>
        <v>#N/A</v>
      </c>
      <c r="D18" s="115"/>
      <c r="E18" s="41">
        <v>0</v>
      </c>
      <c r="F18" s="41">
        <v>0</v>
      </c>
      <c r="G18" s="41">
        <v>0</v>
      </c>
      <c r="H18" s="383">
        <f>IF(ISERROR(HLOOKUP(209,'Fund 20 Grants'!$D$2:$W$12,11,FALSE)),0,(HLOOKUP(209,'Fund 20 Grants'!$D$2:$W$12,11,FALSE)))</f>
        <v>0</v>
      </c>
      <c r="I18" s="41">
        <v>0</v>
      </c>
      <c r="J18" s="564">
        <f t="shared" si="0"/>
        <v>0</v>
      </c>
    </row>
    <row r="19" spans="1:10" x14ac:dyDescent="0.15">
      <c r="A19" s="379" t="e">
        <f>HLOOKUP(210,'Fund 20 Grants'!$D$2:$W$3,2,FALSE)</f>
        <v>#N/A</v>
      </c>
      <c r="B19" s="380"/>
      <c r="C19" s="381" t="e">
        <f>HLOOKUP(210,'Fund 20 Grants'!$D$2:$W$4,3,FALSE)</f>
        <v>#N/A</v>
      </c>
      <c r="D19" s="194"/>
      <c r="E19" s="41">
        <v>0</v>
      </c>
      <c r="F19" s="41">
        <v>0</v>
      </c>
      <c r="G19" s="41">
        <v>0</v>
      </c>
      <c r="H19" s="383">
        <f>IF(ISERROR(HLOOKUP(210,'Fund 20 Grants'!$D$2:$W$12,11,FALSE)),0,(HLOOKUP(210,'Fund 20 Grants'!$D$2:$W$12,11,FALSE)))</f>
        <v>0</v>
      </c>
      <c r="I19" s="41">
        <v>0</v>
      </c>
      <c r="J19" s="564">
        <f t="shared" si="0"/>
        <v>0</v>
      </c>
    </row>
    <row r="20" spans="1:10" x14ac:dyDescent="0.15">
      <c r="A20" s="379" t="e">
        <f>HLOOKUP(211,'Fund 20 Grants'!$D$2:$W$3,2,FALSE)</f>
        <v>#N/A</v>
      </c>
      <c r="B20" s="380"/>
      <c r="C20" s="381" t="e">
        <f>HLOOKUP(211,'Fund 20 Grants'!$D$2:$W$4,3,FALSE)</f>
        <v>#N/A</v>
      </c>
      <c r="D20" s="115"/>
      <c r="E20" s="41">
        <v>0</v>
      </c>
      <c r="F20" s="41">
        <v>0</v>
      </c>
      <c r="G20" s="41">
        <v>0</v>
      </c>
      <c r="H20" s="383">
        <f>IF(ISERROR(HLOOKUP(211,'Fund 20 Grants'!$D$2:$W$12,11,FALSE)),0,(HLOOKUP(211,'Fund 20 Grants'!$D$2:$W$12,11,FALSE)))</f>
        <v>0</v>
      </c>
      <c r="I20" s="41">
        <v>0</v>
      </c>
      <c r="J20" s="564">
        <f t="shared" si="0"/>
        <v>0</v>
      </c>
    </row>
    <row r="21" spans="1:10" x14ac:dyDescent="0.15">
      <c r="A21" s="379" t="e">
        <f>HLOOKUP(212,'Fund 20 Grants'!$D$2:$W$3,2,FALSE)</f>
        <v>#N/A</v>
      </c>
      <c r="B21" s="380"/>
      <c r="C21" s="381" t="e">
        <f>HLOOKUP(212,'Fund 20 Grants'!$D$2:$W$4,3,FALSE)</f>
        <v>#N/A</v>
      </c>
      <c r="D21" s="194"/>
      <c r="E21" s="41">
        <v>0</v>
      </c>
      <c r="F21" s="41">
        <v>0</v>
      </c>
      <c r="G21" s="41">
        <v>0</v>
      </c>
      <c r="H21" s="383">
        <f>IF(ISERROR(HLOOKUP(212,'Fund 20 Grants'!$D$2:$W$12,11,FALSE)),0,(HLOOKUP(212,'Fund 20 Grants'!$D$2:$W$12,11,FALSE)))</f>
        <v>0</v>
      </c>
      <c r="I21" s="41">
        <v>0</v>
      </c>
      <c r="J21" s="564">
        <f t="shared" si="0"/>
        <v>0</v>
      </c>
    </row>
    <row r="22" spans="1:10" ht="11.25" thickBot="1" x14ac:dyDescent="0.2">
      <c r="A22" s="152"/>
      <c r="B22" s="167"/>
      <c r="E22" s="14"/>
      <c r="F22" s="14"/>
      <c r="G22" s="14"/>
      <c r="H22" s="14"/>
      <c r="J22" s="167"/>
    </row>
    <row r="23" spans="1:10" ht="12" thickTop="1" thickBot="1" x14ac:dyDescent="0.2">
      <c r="C23" s="115" t="s">
        <v>1186</v>
      </c>
      <c r="D23" s="115"/>
      <c r="E23" s="169">
        <f t="shared" ref="E23:J23" si="1">SUM(E10:E21)</f>
        <v>0</v>
      </c>
      <c r="F23" s="169">
        <f t="shared" si="1"/>
        <v>0</v>
      </c>
      <c r="G23" s="169">
        <f t="shared" si="1"/>
        <v>0</v>
      </c>
      <c r="H23" s="169">
        <f t="shared" si="1"/>
        <v>0</v>
      </c>
      <c r="I23" s="169">
        <f t="shared" si="1"/>
        <v>0</v>
      </c>
      <c r="J23" s="169">
        <f t="shared" si="1"/>
        <v>0</v>
      </c>
    </row>
    <row r="24" spans="1:10" ht="11.25" thickTop="1" x14ac:dyDescent="0.15">
      <c r="F24" s="159"/>
      <c r="G24" s="159"/>
      <c r="J24" s="167"/>
    </row>
    <row r="25" spans="1:10" x14ac:dyDescent="0.15">
      <c r="B25" s="40" t="s">
        <v>1185</v>
      </c>
      <c r="F25" s="159"/>
      <c r="G25" s="159"/>
      <c r="J25" s="167"/>
    </row>
    <row r="26" spans="1:10" x14ac:dyDescent="0.15">
      <c r="A26" s="235" t="s">
        <v>163</v>
      </c>
      <c r="B26" s="40"/>
      <c r="F26" s="159"/>
      <c r="G26" s="159"/>
      <c r="J26" s="167"/>
    </row>
    <row r="27" spans="1:10" x14ac:dyDescent="0.15">
      <c r="A27" s="35" t="s">
        <v>203</v>
      </c>
      <c r="B27" s="159"/>
      <c r="C27" s="35" t="s">
        <v>1188</v>
      </c>
      <c r="D27" s="35"/>
      <c r="F27" s="159"/>
      <c r="G27" s="159"/>
      <c r="J27" s="167"/>
    </row>
    <row r="28" spans="1:10" x14ac:dyDescent="0.15">
      <c r="A28" s="373"/>
      <c r="B28" s="167"/>
      <c r="C28" s="40" t="s">
        <v>554</v>
      </c>
      <c r="D28" s="194"/>
      <c r="F28" s="159"/>
      <c r="G28" s="159"/>
      <c r="J28" s="167"/>
    </row>
    <row r="29" spans="1:10" x14ac:dyDescent="0.15">
      <c r="A29" s="379" t="e">
        <f>HLOOKUP(301,'Fund 20 Grants'!$D$2:$W$3,2,FALSE)</f>
        <v>#N/A</v>
      </c>
      <c r="B29" s="380"/>
      <c r="C29" s="381" t="e">
        <f>HLOOKUP(301,'Fund 20 Grants'!$D$2:$W$4,3,FALSE)</f>
        <v>#N/A</v>
      </c>
      <c r="D29" s="194"/>
      <c r="E29" s="41">
        <v>0</v>
      </c>
      <c r="F29" s="41">
        <v>0</v>
      </c>
      <c r="G29" s="41">
        <v>0</v>
      </c>
      <c r="H29" s="383">
        <f>IF(ISERROR(HLOOKUP(301,'Fund 20 Grants'!$D$2:$W$12,11,FALSE)),0,(HLOOKUP(301,'Fund 20 Grants'!$D$2:$W$12,11,FALSE)))</f>
        <v>0</v>
      </c>
      <c r="I29" s="41">
        <v>0</v>
      </c>
      <c r="J29" s="564">
        <f t="shared" ref="J29:J48" si="2">H29+I29</f>
        <v>0</v>
      </c>
    </row>
    <row r="30" spans="1:10" x14ac:dyDescent="0.15">
      <c r="A30" s="379" t="e">
        <f>HLOOKUP(302,'Fund 20 Grants'!$D$2:$W$3,2,FALSE)</f>
        <v>#N/A</v>
      </c>
      <c r="B30" s="380"/>
      <c r="C30" s="381" t="e">
        <f>HLOOKUP(302,'Fund 20 Grants'!$D$2:$W$4,3,FALSE)</f>
        <v>#N/A</v>
      </c>
      <c r="D30" s="194"/>
      <c r="E30" s="41">
        <v>0</v>
      </c>
      <c r="F30" s="41">
        <v>0</v>
      </c>
      <c r="G30" s="41">
        <v>0</v>
      </c>
      <c r="H30" s="383">
        <f>IF(ISERROR(HLOOKUP(302,'Fund 20 Grants'!$D$2:$W$12,11,FALSE)),0,(HLOOKUP(302,'Fund 20 Grants'!$D$2:$W$12,11,FALSE)))</f>
        <v>0</v>
      </c>
      <c r="I30" s="41">
        <v>0</v>
      </c>
      <c r="J30" s="564">
        <f t="shared" si="2"/>
        <v>0</v>
      </c>
    </row>
    <row r="31" spans="1:10" x14ac:dyDescent="0.15">
      <c r="A31" s="379" t="e">
        <f>HLOOKUP(303,'Fund 20 Grants'!$D$2:$W$3,2,FALSE)</f>
        <v>#N/A</v>
      </c>
      <c r="B31" s="380"/>
      <c r="C31" s="381" t="e">
        <f>HLOOKUP(303,'Fund 20 Grants'!$D$2:$W$4,3,FALSE)</f>
        <v>#N/A</v>
      </c>
      <c r="D31" s="194"/>
      <c r="E31" s="41">
        <v>0</v>
      </c>
      <c r="F31" s="41">
        <v>0</v>
      </c>
      <c r="G31" s="41">
        <v>0</v>
      </c>
      <c r="H31" s="383">
        <f>IF(ISERROR(HLOOKUP(303,'Fund 20 Grants'!$D$2:$W$12,11,FALSE)),0,(HLOOKUP(303,'Fund 20 Grants'!$D$2:$W$12,11,FALSE)))</f>
        <v>0</v>
      </c>
      <c r="I31" s="41">
        <v>0</v>
      </c>
      <c r="J31" s="564">
        <f t="shared" si="2"/>
        <v>0</v>
      </c>
    </row>
    <row r="32" spans="1:10" x14ac:dyDescent="0.15">
      <c r="A32" s="379" t="e">
        <f>HLOOKUP(304,'Fund 20 Grants'!$D$2:$W$3,2,FALSE)</f>
        <v>#N/A</v>
      </c>
      <c r="B32" s="380"/>
      <c r="C32" s="381" t="e">
        <f>HLOOKUP(304,'Fund 20 Grants'!$D$2:$W$4,3,FALSE)</f>
        <v>#N/A</v>
      </c>
      <c r="D32" s="194"/>
      <c r="E32" s="41">
        <v>0</v>
      </c>
      <c r="F32" s="41">
        <v>0</v>
      </c>
      <c r="G32" s="41">
        <v>0</v>
      </c>
      <c r="H32" s="383">
        <f>IF(ISERROR(HLOOKUP(304,'Fund 20 Grants'!$D$2:$W$12,11,FALSE)),0,(HLOOKUP(304,'Fund 20 Grants'!$D$2:$W$12,11,FALSE)))</f>
        <v>0</v>
      </c>
      <c r="I32" s="41">
        <v>0</v>
      </c>
      <c r="J32" s="564">
        <f t="shared" si="2"/>
        <v>0</v>
      </c>
    </row>
    <row r="33" spans="1:10" x14ac:dyDescent="0.15">
      <c r="A33" s="379" t="e">
        <f>HLOOKUP(305,'Fund 20 Grants'!$D$2:$W$3,2,FALSE)</f>
        <v>#N/A</v>
      </c>
      <c r="B33" s="380"/>
      <c r="C33" s="381" t="e">
        <f>HLOOKUP(305,'Fund 20 Grants'!$D$2:$W$4,3,FALSE)</f>
        <v>#N/A</v>
      </c>
      <c r="D33" s="194"/>
      <c r="E33" s="41">
        <v>0</v>
      </c>
      <c r="F33" s="41">
        <v>0</v>
      </c>
      <c r="G33" s="41">
        <v>0</v>
      </c>
      <c r="H33" s="383">
        <f>IF(ISERROR(HLOOKUP(305,'Fund 20 Grants'!$D$2:$W$12,11,FALSE)),0,(HLOOKUP(305,'Fund 20 Grants'!$D$2:$W$12,11,FALSE)))</f>
        <v>0</v>
      </c>
      <c r="I33" s="41">
        <v>0</v>
      </c>
      <c r="J33" s="564">
        <f t="shared" si="2"/>
        <v>0</v>
      </c>
    </row>
    <row r="34" spans="1:10" x14ac:dyDescent="0.15">
      <c r="A34" s="379" t="e">
        <f>HLOOKUP(306,'Fund 20 Grants'!$D$2:$W$3,2,FALSE)</f>
        <v>#N/A</v>
      </c>
      <c r="B34" s="380"/>
      <c r="C34" s="381" t="e">
        <f>HLOOKUP(306,'Fund 20 Grants'!$D$2:$W$4,3,FALSE)</f>
        <v>#N/A</v>
      </c>
      <c r="D34" s="194"/>
      <c r="E34" s="41">
        <v>0</v>
      </c>
      <c r="F34" s="41">
        <v>0</v>
      </c>
      <c r="G34" s="41">
        <v>0</v>
      </c>
      <c r="H34" s="383">
        <f>IF(ISERROR(HLOOKUP(306,'Fund 20 Grants'!$D$2:$W$12,11,FALSE)),0,(HLOOKUP(306,'Fund 20 Grants'!$D$2:$W$12,11,FALSE)))</f>
        <v>0</v>
      </c>
      <c r="I34" s="41">
        <v>0</v>
      </c>
      <c r="J34" s="564">
        <f t="shared" si="2"/>
        <v>0</v>
      </c>
    </row>
    <row r="35" spans="1:10" x14ac:dyDescent="0.15">
      <c r="A35" s="379" t="e">
        <f>HLOOKUP(307,'Fund 20 Grants'!$D$2:$W$3,2,FALSE)</f>
        <v>#N/A</v>
      </c>
      <c r="B35" s="380"/>
      <c r="C35" s="381" t="e">
        <f>HLOOKUP(307,'Fund 20 Grants'!$D$2:$W$4,3,FALSE)</f>
        <v>#N/A</v>
      </c>
      <c r="D35" s="194"/>
      <c r="E35" s="41">
        <v>0</v>
      </c>
      <c r="F35" s="41">
        <v>0</v>
      </c>
      <c r="G35" s="41">
        <v>0</v>
      </c>
      <c r="H35" s="383">
        <f>IF(ISERROR(HLOOKUP(307,'Fund 20 Grants'!$D$2:$W$12,11,FALSE)),0,(HLOOKUP(307,'Fund 20 Grants'!$D$2:$W$12,11,FALSE)))</f>
        <v>0</v>
      </c>
      <c r="I35" s="41">
        <v>0</v>
      </c>
      <c r="J35" s="564">
        <f t="shared" si="2"/>
        <v>0</v>
      </c>
    </row>
    <row r="36" spans="1:10" x14ac:dyDescent="0.15">
      <c r="A36" s="379" t="e">
        <f>HLOOKUP(308,'Fund 20 Grants'!$D$2:$W$3,2,FALSE)</f>
        <v>#N/A</v>
      </c>
      <c r="B36" s="380"/>
      <c r="C36" s="381" t="e">
        <f>HLOOKUP(308,'Fund 20 Grants'!$D$2:$W$4,3,FALSE)</f>
        <v>#N/A</v>
      </c>
      <c r="D36" s="194"/>
      <c r="E36" s="41">
        <v>0</v>
      </c>
      <c r="F36" s="41">
        <v>0</v>
      </c>
      <c r="G36" s="41">
        <v>0</v>
      </c>
      <c r="H36" s="383">
        <f>IF(ISERROR(HLOOKUP(308,'Fund 20 Grants'!$D$2:$W$12,11,FALSE)),0,(HLOOKUP(308,'Fund 20 Grants'!$D$2:$W$12,11,FALSE)))</f>
        <v>0</v>
      </c>
      <c r="I36" s="41">
        <v>0</v>
      </c>
      <c r="J36" s="564">
        <f t="shared" si="2"/>
        <v>0</v>
      </c>
    </row>
    <row r="37" spans="1:10" x14ac:dyDescent="0.15">
      <c r="A37" s="379" t="e">
        <f>HLOOKUP(309,'Fund 20 Grants'!$D$2:$W$3,2,FALSE)</f>
        <v>#N/A</v>
      </c>
      <c r="B37" s="380"/>
      <c r="C37" s="381" t="e">
        <f>HLOOKUP(309,'Fund 20 Grants'!$D$2:$W$4,3,FALSE)</f>
        <v>#N/A</v>
      </c>
      <c r="D37" s="194"/>
      <c r="E37" s="41">
        <v>0</v>
      </c>
      <c r="F37" s="41">
        <v>0</v>
      </c>
      <c r="G37" s="41">
        <v>0</v>
      </c>
      <c r="H37" s="383">
        <f>IF(ISERROR(HLOOKUP(309,'Fund 20 Grants'!$D$2:$W$12,11,FALSE)),0,(HLOOKUP(309,'Fund 20 Grants'!$D$2:$W$12,11,FALSE)))</f>
        <v>0</v>
      </c>
      <c r="I37" s="41">
        <v>0</v>
      </c>
      <c r="J37" s="564">
        <f t="shared" si="2"/>
        <v>0</v>
      </c>
    </row>
    <row r="38" spans="1:10" x14ac:dyDescent="0.15">
      <c r="A38" s="379" t="e">
        <f>HLOOKUP(310,'Fund 20 Grants'!$D$2:$W$3,2,FALSE)</f>
        <v>#N/A</v>
      </c>
      <c r="B38" s="380"/>
      <c r="C38" s="381" t="e">
        <f>HLOOKUP(310,'Fund 20 Grants'!$D$2:$W$4,3,FALSE)</f>
        <v>#N/A</v>
      </c>
      <c r="D38" s="194"/>
      <c r="E38" s="41">
        <v>0</v>
      </c>
      <c r="F38" s="41">
        <v>0</v>
      </c>
      <c r="G38" s="41">
        <v>0</v>
      </c>
      <c r="H38" s="383">
        <f>IF(ISERROR(HLOOKUP(310,'Fund 20 Grants'!$D$2:$W$12,11,FALSE)),0,(HLOOKUP(310,'Fund 20 Grants'!$D$2:$W$12,11,FALSE)))</f>
        <v>0</v>
      </c>
      <c r="I38" s="41">
        <v>0</v>
      </c>
      <c r="J38" s="564">
        <f t="shared" si="2"/>
        <v>0</v>
      </c>
    </row>
    <row r="39" spans="1:10" x14ac:dyDescent="0.15">
      <c r="A39" s="379" t="e">
        <f>HLOOKUP(311,'Fund 20 Grants'!$D$2:$W$3,2,FALSE)</f>
        <v>#N/A</v>
      </c>
      <c r="B39" s="380"/>
      <c r="C39" s="381" t="e">
        <f>HLOOKUP(311,'Fund 20 Grants'!$D$2:$W$4,3,FALSE)</f>
        <v>#N/A</v>
      </c>
      <c r="D39" s="194"/>
      <c r="E39" s="41">
        <v>0</v>
      </c>
      <c r="F39" s="41">
        <v>0</v>
      </c>
      <c r="G39" s="41">
        <v>0</v>
      </c>
      <c r="H39" s="383">
        <f>IF(ISERROR(HLOOKUP(311,'Fund 20 Grants'!$D$2:$W$12,11,FALSE)),0,(HLOOKUP(311,'Fund 20 Grants'!$D$2:$W$12,11,FALSE)))</f>
        <v>0</v>
      </c>
      <c r="I39" s="41">
        <v>0</v>
      </c>
      <c r="J39" s="564">
        <f t="shared" si="2"/>
        <v>0</v>
      </c>
    </row>
    <row r="40" spans="1:10" x14ac:dyDescent="0.15">
      <c r="A40" s="379" t="e">
        <f>HLOOKUP(312,'Fund 20 Grants'!$D$2:$W$3,2,FALSE)</f>
        <v>#N/A</v>
      </c>
      <c r="B40" s="380"/>
      <c r="C40" s="381" t="e">
        <f>HLOOKUP(312,'Fund 20 Grants'!$D$2:$W$4,3,FALSE)</f>
        <v>#N/A</v>
      </c>
      <c r="D40" s="194"/>
      <c r="E40" s="41">
        <v>0</v>
      </c>
      <c r="F40" s="41">
        <v>0</v>
      </c>
      <c r="G40" s="41">
        <v>0</v>
      </c>
      <c r="H40" s="383">
        <f>IF(ISERROR(HLOOKUP(312,'Fund 20 Grants'!$D$2:$W$12,11,FALSE)),0,(HLOOKUP(312,'Fund 20 Grants'!$D$2:$W$12,11,FALSE)))</f>
        <v>0</v>
      </c>
      <c r="I40" s="41">
        <v>0</v>
      </c>
      <c r="J40" s="564">
        <f t="shared" si="2"/>
        <v>0</v>
      </c>
    </row>
    <row r="41" spans="1:10" x14ac:dyDescent="0.15">
      <c r="A41" s="379" t="e">
        <f>HLOOKUP(313,'Fund 20 Grants'!$D$2:$W$3,2,FALSE)</f>
        <v>#N/A</v>
      </c>
      <c r="B41" s="380"/>
      <c r="C41" s="381" t="e">
        <f>HLOOKUP(313,'Fund 20 Grants'!$D$2:$W$4,3,FALSE)</f>
        <v>#N/A</v>
      </c>
      <c r="D41" s="194"/>
      <c r="E41" s="41">
        <v>0</v>
      </c>
      <c r="F41" s="41">
        <v>0</v>
      </c>
      <c r="G41" s="41">
        <v>0</v>
      </c>
      <c r="H41" s="383">
        <f>IF(ISERROR(HLOOKUP(313,'Fund 20 Grants'!$D$2:$W$12,11,FALSE)),0,(HLOOKUP(313,'Fund 20 Grants'!$D$2:$W$12,11,FALSE)))</f>
        <v>0</v>
      </c>
      <c r="I41" s="41">
        <v>0</v>
      </c>
      <c r="J41" s="564">
        <f t="shared" si="2"/>
        <v>0</v>
      </c>
    </row>
    <row r="42" spans="1:10" x14ac:dyDescent="0.15">
      <c r="A42" s="379" t="e">
        <f>HLOOKUP(314,'Fund 20 Grants'!$D$2:$W$3,2,FALSE)</f>
        <v>#N/A</v>
      </c>
      <c r="B42" s="380"/>
      <c r="C42" s="381" t="e">
        <f>HLOOKUP(314,'Fund 20 Grants'!$D$2:$W$4,3,FALSE)</f>
        <v>#N/A</v>
      </c>
      <c r="D42" s="194"/>
      <c r="E42" s="41">
        <v>0</v>
      </c>
      <c r="F42" s="41">
        <v>0</v>
      </c>
      <c r="G42" s="41">
        <v>0</v>
      </c>
      <c r="H42" s="383">
        <f>IF(ISERROR(HLOOKUP(314,'Fund 20 Grants'!$D$2:$W$12,11,FALSE)),0,(HLOOKUP(314,'Fund 20 Grants'!$D$2:$W$12,11,FALSE)))</f>
        <v>0</v>
      </c>
      <c r="I42" s="41">
        <v>0</v>
      </c>
      <c r="J42" s="564">
        <f t="shared" si="2"/>
        <v>0</v>
      </c>
    </row>
    <row r="43" spans="1:10" x14ac:dyDescent="0.15">
      <c r="A43" s="379" t="e">
        <f>HLOOKUP(315,'Fund 20 Grants'!$D$2:$W$3,2,FALSE)</f>
        <v>#N/A</v>
      </c>
      <c r="B43" s="380"/>
      <c r="C43" s="381" t="e">
        <f>HLOOKUP(315,'Fund 20 Grants'!$D$2:$W$4,3,FALSE)</f>
        <v>#N/A</v>
      </c>
      <c r="D43" s="194"/>
      <c r="E43" s="41">
        <v>0</v>
      </c>
      <c r="F43" s="41">
        <v>0</v>
      </c>
      <c r="G43" s="41">
        <v>0</v>
      </c>
      <c r="H43" s="383">
        <f>IF(ISERROR(HLOOKUP(315,'Fund 20 Grants'!$D$2:$W$12,11,FALSE)),0,(HLOOKUP(315,'Fund 20 Grants'!$D$2:$W$12,11,FALSE)))</f>
        <v>0</v>
      </c>
      <c r="I43" s="41">
        <v>0</v>
      </c>
      <c r="J43" s="564">
        <f t="shared" si="2"/>
        <v>0</v>
      </c>
    </row>
    <row r="44" spans="1:10" x14ac:dyDescent="0.15">
      <c r="A44" s="379" t="e">
        <f>HLOOKUP(316,'Fund 20 Grants'!$D$2:$W$3,2,FALSE)</f>
        <v>#N/A</v>
      </c>
      <c r="B44" s="380"/>
      <c r="C44" s="381" t="e">
        <f>HLOOKUP(316,'Fund 20 Grants'!$D$2:$W$4,3,FALSE)</f>
        <v>#N/A</v>
      </c>
      <c r="D44" s="194"/>
      <c r="E44" s="41">
        <v>0</v>
      </c>
      <c r="F44" s="41">
        <v>0</v>
      </c>
      <c r="G44" s="41">
        <v>0</v>
      </c>
      <c r="H44" s="383">
        <f>IF(ISERROR(HLOOKUP(316,'Fund 20 Grants'!$D$2:$W$12,11,FALSE)),0,(HLOOKUP(316,'Fund 20 Grants'!$D$2:$W$12,11,FALSE)))</f>
        <v>0</v>
      </c>
      <c r="I44" s="41">
        <v>0</v>
      </c>
      <c r="J44" s="564">
        <f t="shared" si="2"/>
        <v>0</v>
      </c>
    </row>
    <row r="45" spans="1:10" x14ac:dyDescent="0.15">
      <c r="A45" s="379" t="e">
        <f>HLOOKUP(317,'Fund 20 Grants'!$D$2:$W$3,2,FALSE)</f>
        <v>#N/A</v>
      </c>
      <c r="B45" s="380"/>
      <c r="C45" s="381" t="e">
        <f>HLOOKUP(317,'Fund 20 Grants'!$D$2:$W$4,3,FALSE)</f>
        <v>#N/A</v>
      </c>
      <c r="D45" s="194"/>
      <c r="E45" s="41">
        <v>0</v>
      </c>
      <c r="F45" s="41">
        <v>0</v>
      </c>
      <c r="G45" s="41">
        <v>0</v>
      </c>
      <c r="H45" s="383">
        <f>IF(ISERROR(HLOOKUP(317,'Fund 20 Grants'!$D$2:$W$12,11,FALSE)),0,(HLOOKUP(317,'Fund 20 Grants'!$D$2:$W$12,11,FALSE)))</f>
        <v>0</v>
      </c>
      <c r="I45" s="41">
        <v>0</v>
      </c>
      <c r="J45" s="564">
        <f t="shared" si="2"/>
        <v>0</v>
      </c>
    </row>
    <row r="46" spans="1:10" x14ac:dyDescent="0.15">
      <c r="A46" s="379" t="e">
        <f>HLOOKUP(318,'Fund 20 Grants'!$D$2:$W$3,2,FALSE)</f>
        <v>#N/A</v>
      </c>
      <c r="B46" s="380"/>
      <c r="C46" s="381" t="e">
        <f>HLOOKUP(318,'Fund 20 Grants'!$D$2:$W$4,3,FALSE)</f>
        <v>#N/A</v>
      </c>
      <c r="D46" s="194"/>
      <c r="E46" s="41">
        <v>0</v>
      </c>
      <c r="F46" s="41">
        <v>0</v>
      </c>
      <c r="G46" s="41">
        <v>0</v>
      </c>
      <c r="H46" s="383">
        <f>IF(ISERROR(HLOOKUP(318,'Fund 20 Grants'!$D$2:$W$12,11,FALSE)),0,(HLOOKUP(318,'Fund 20 Grants'!$D$2:$W$12,11,FALSE)))</f>
        <v>0</v>
      </c>
      <c r="I46" s="41">
        <v>0</v>
      </c>
      <c r="J46" s="564">
        <f t="shared" si="2"/>
        <v>0</v>
      </c>
    </row>
    <row r="47" spans="1:10" x14ac:dyDescent="0.15">
      <c r="A47" s="379" t="e">
        <f>HLOOKUP(319,'Fund 20 Grants'!$D$2:$W$3,2,FALSE)</f>
        <v>#N/A</v>
      </c>
      <c r="B47" s="380"/>
      <c r="C47" s="381" t="e">
        <f>HLOOKUP(319,'Fund 20 Grants'!$D$2:$W$4,3,FALSE)</f>
        <v>#N/A</v>
      </c>
      <c r="D47" s="194"/>
      <c r="E47" s="41">
        <v>0</v>
      </c>
      <c r="F47" s="41">
        <v>0</v>
      </c>
      <c r="G47" s="41">
        <v>0</v>
      </c>
      <c r="H47" s="383">
        <f>IF(ISERROR(HLOOKUP(319,'Fund 20 Grants'!$D$2:$W$12,11,FALSE)),0,(HLOOKUP(319,'Fund 20 Grants'!$D$2:$W$12,11,FALSE)))</f>
        <v>0</v>
      </c>
      <c r="I47" s="41">
        <v>0</v>
      </c>
      <c r="J47" s="564">
        <f t="shared" si="2"/>
        <v>0</v>
      </c>
    </row>
    <row r="48" spans="1:10" x14ac:dyDescent="0.15">
      <c r="A48" s="379" t="e">
        <f>HLOOKUP(320,'Fund 20 Grants'!$D$2:$W$3,2,FALSE)</f>
        <v>#N/A</v>
      </c>
      <c r="B48" s="380"/>
      <c r="C48" s="381" t="e">
        <f>HLOOKUP(320,'Fund 20 Grants'!$D$2:$W$4,3,FALSE)</f>
        <v>#N/A</v>
      </c>
      <c r="D48" s="115"/>
      <c r="E48" s="41">
        <v>0</v>
      </c>
      <c r="F48" s="41">
        <v>0</v>
      </c>
      <c r="G48" s="41">
        <v>0</v>
      </c>
      <c r="H48" s="383">
        <f>IF(ISERROR(HLOOKUP(320,'Fund 20 Grants'!$D$2:$W$12,11,FALSE)),0,(HLOOKUP(320,'Fund 20 Grants'!$D$2:$W$12,11,FALSE)))</f>
        <v>0</v>
      </c>
      <c r="I48" s="41">
        <v>0</v>
      </c>
      <c r="J48" s="564">
        <f t="shared" si="2"/>
        <v>0</v>
      </c>
    </row>
    <row r="49" spans="1:10" ht="11.25" thickBot="1" x14ac:dyDescent="0.2">
      <c r="A49" s="384"/>
      <c r="B49" s="385"/>
      <c r="C49" s="172"/>
      <c r="D49" s="115"/>
      <c r="E49" s="14"/>
      <c r="F49" s="14"/>
      <c r="G49" s="14"/>
      <c r="H49" s="14"/>
      <c r="J49" s="167"/>
    </row>
    <row r="50" spans="1:10" ht="12" thickTop="1" thickBot="1" x14ac:dyDescent="0.2">
      <c r="C50" s="115" t="s">
        <v>1187</v>
      </c>
      <c r="E50" s="169">
        <f t="shared" ref="E50:J50" si="3">SUM(E29:E49)</f>
        <v>0</v>
      </c>
      <c r="F50" s="169">
        <f t="shared" si="3"/>
        <v>0</v>
      </c>
      <c r="G50" s="169">
        <f t="shared" si="3"/>
        <v>0</v>
      </c>
      <c r="H50" s="169">
        <f t="shared" si="3"/>
        <v>0</v>
      </c>
      <c r="I50" s="169">
        <f t="shared" si="3"/>
        <v>0</v>
      </c>
      <c r="J50" s="169">
        <f t="shared" si="3"/>
        <v>0</v>
      </c>
    </row>
    <row r="51" spans="1:10" ht="11.25" thickTop="1" x14ac:dyDescent="0.15">
      <c r="F51" s="159"/>
      <c r="G51" s="159"/>
      <c r="J51" s="167"/>
    </row>
    <row r="52" spans="1:10" x14ac:dyDescent="0.15">
      <c r="B52" s="40" t="s">
        <v>1346</v>
      </c>
      <c r="D52" s="35"/>
      <c r="F52" s="159"/>
      <c r="G52" s="159"/>
      <c r="J52" s="167"/>
    </row>
    <row r="53" spans="1:10" x14ac:dyDescent="0.15">
      <c r="A53" s="35" t="s">
        <v>203</v>
      </c>
      <c r="B53" s="159"/>
      <c r="C53" s="35" t="s">
        <v>1330</v>
      </c>
      <c r="D53" s="202"/>
      <c r="F53" s="159"/>
      <c r="G53" s="159"/>
      <c r="J53" s="167"/>
    </row>
    <row r="54" spans="1:10" x14ac:dyDescent="0.15">
      <c r="A54" s="379">
        <f>HLOOKUP(101,'Fund 20 Grants'!$D$2:$W$3,2,FALSE)</f>
        <v>0</v>
      </c>
      <c r="B54" s="380"/>
      <c r="C54" s="381">
        <f>HLOOKUP(101,'Fund 20 Grants'!$D$2:$W$4,3,FALSE)</f>
        <v>0</v>
      </c>
      <c r="D54" s="202"/>
      <c r="E54" s="41">
        <v>0</v>
      </c>
      <c r="F54" s="41">
        <v>0</v>
      </c>
      <c r="G54" s="41">
        <v>0</v>
      </c>
      <c r="H54" s="383">
        <f>IF(ISERROR(HLOOKUP(101,'Fund 20 Grants'!$D$2:$W$12,11,FALSE)),0,(HLOOKUP(101,'Fund 20 Grants'!$D$2:$W$12,11,FALSE)))</f>
        <v>0</v>
      </c>
      <c r="I54" s="41">
        <v>0</v>
      </c>
      <c r="J54" s="564">
        <f t="shared" ref="J54:J63" si="4">H54+I54</f>
        <v>0</v>
      </c>
    </row>
    <row r="55" spans="1:10" x14ac:dyDescent="0.15">
      <c r="A55" s="379">
        <f>HLOOKUP(102,'Fund 20 Grants'!$D$2:$W$3,2,FALSE)</f>
        <v>0</v>
      </c>
      <c r="B55" s="380"/>
      <c r="C55" s="381">
        <f>HLOOKUP(102,'Fund 20 Grants'!$D$2:$W$4,3,FALSE)</f>
        <v>0</v>
      </c>
      <c r="D55" s="202"/>
      <c r="E55" s="41">
        <v>0</v>
      </c>
      <c r="F55" s="41">
        <v>0</v>
      </c>
      <c r="G55" s="41">
        <v>0</v>
      </c>
      <c r="H55" s="383">
        <f>IF(ISERROR(HLOOKUP(102,'Fund 20 Grants'!$D$2:$W$12,11,FALSE)),0,(HLOOKUP(102,'Fund 20 Grants'!$D$2:$W$12,11,FALSE)))</f>
        <v>0</v>
      </c>
      <c r="I55" s="41">
        <v>0</v>
      </c>
      <c r="J55" s="564">
        <f t="shared" si="4"/>
        <v>0</v>
      </c>
    </row>
    <row r="56" spans="1:10" x14ac:dyDescent="0.15">
      <c r="A56" s="379">
        <f>HLOOKUP(103,'Fund 20 Grants'!$D$2:$W$3,2,FALSE)</f>
        <v>0</v>
      </c>
      <c r="B56" s="380"/>
      <c r="C56" s="381">
        <f>HLOOKUP(103,'Fund 20 Grants'!$D$2:$W$4,3,FALSE)</f>
        <v>0</v>
      </c>
      <c r="D56" s="202"/>
      <c r="E56" s="41">
        <v>0</v>
      </c>
      <c r="F56" s="41">
        <v>0</v>
      </c>
      <c r="G56" s="41">
        <v>0</v>
      </c>
      <c r="H56" s="383">
        <f>IF(ISERROR(HLOOKUP(103,'Fund 20 Grants'!$D$2:$W$12,11,FALSE)),0,(HLOOKUP(103,'Fund 20 Grants'!$D$2:$W$12,11,FALSE)))</f>
        <v>0</v>
      </c>
      <c r="I56" s="41">
        <v>0</v>
      </c>
      <c r="J56" s="564">
        <f t="shared" si="4"/>
        <v>0</v>
      </c>
    </row>
    <row r="57" spans="1:10" x14ac:dyDescent="0.15">
      <c r="A57" s="379">
        <f>HLOOKUP(104,'Fund 20 Grants'!$D$2:$W$3,2,FALSE)</f>
        <v>0</v>
      </c>
      <c r="B57" s="380"/>
      <c r="C57" s="381">
        <f>HLOOKUP(104,'Fund 20 Grants'!$D$2:$W$4,3,FALSE)</f>
        <v>0</v>
      </c>
      <c r="D57" s="202"/>
      <c r="E57" s="41">
        <v>0</v>
      </c>
      <c r="F57" s="41">
        <v>0</v>
      </c>
      <c r="G57" s="41">
        <v>0</v>
      </c>
      <c r="H57" s="383">
        <f>IF(ISERROR(HLOOKUP(104,'Fund 20 Grants'!$D$2:$W$12,11,FALSE)),0,(HLOOKUP(104,'Fund 20 Grants'!$D$2:$W$12,11,FALSE)))</f>
        <v>0</v>
      </c>
      <c r="I57" s="41">
        <v>0</v>
      </c>
      <c r="J57" s="564">
        <f t="shared" si="4"/>
        <v>0</v>
      </c>
    </row>
    <row r="58" spans="1:10" x14ac:dyDescent="0.15">
      <c r="A58" s="379">
        <f>HLOOKUP(105,'Fund 20 Grants'!$D$2:$W$3,2,FALSE)</f>
        <v>0</v>
      </c>
      <c r="B58" s="380"/>
      <c r="C58" s="381">
        <f>HLOOKUP(105,'Fund 20 Grants'!$D$2:$W$4,3,FALSE)</f>
        <v>0</v>
      </c>
      <c r="D58" s="202"/>
      <c r="E58" s="41">
        <v>0</v>
      </c>
      <c r="F58" s="41">
        <v>0</v>
      </c>
      <c r="G58" s="41">
        <v>0</v>
      </c>
      <c r="H58" s="383">
        <f>IF(ISERROR(HLOOKUP(105,'Fund 20 Grants'!$D$2:$W$12,11,FALSE)),0,(HLOOKUP(105,'Fund 20 Grants'!$D$2:$W$12,11,FALSE)))</f>
        <v>0</v>
      </c>
      <c r="I58" s="41">
        <v>0</v>
      </c>
      <c r="J58" s="564">
        <f t="shared" si="4"/>
        <v>0</v>
      </c>
    </row>
    <row r="59" spans="1:10" x14ac:dyDescent="0.15">
      <c r="A59" s="379">
        <f>HLOOKUP(106,'Fund 20 Grants'!$D$2:$W$3,2,FALSE)</f>
        <v>0</v>
      </c>
      <c r="B59" s="380"/>
      <c r="C59" s="381">
        <f>HLOOKUP(106,'Fund 20 Grants'!$D$2:$W$4,3,FALSE)</f>
        <v>0</v>
      </c>
      <c r="D59" s="202"/>
      <c r="E59" s="41">
        <v>0</v>
      </c>
      <c r="F59" s="41">
        <v>0</v>
      </c>
      <c r="G59" s="41">
        <v>0</v>
      </c>
      <c r="H59" s="383">
        <f>IF(ISERROR(HLOOKUP(106,'Fund 20 Grants'!$D$2:$W$12,11,FALSE)),0,(HLOOKUP(106,'Fund 20 Grants'!$D$2:$W$12,11,FALSE)))</f>
        <v>0</v>
      </c>
      <c r="I59" s="41">
        <v>0</v>
      </c>
      <c r="J59" s="564">
        <f t="shared" si="4"/>
        <v>0</v>
      </c>
    </row>
    <row r="60" spans="1:10" x14ac:dyDescent="0.15">
      <c r="A60" s="379">
        <f>HLOOKUP(107,'Fund 20 Grants'!$D$2:$W$3,2,FALSE)</f>
        <v>0</v>
      </c>
      <c r="B60" s="380"/>
      <c r="C60" s="381">
        <f>HLOOKUP(107,'Fund 20 Grants'!$D$2:$W$4,3,FALSE)</f>
        <v>0</v>
      </c>
      <c r="D60" s="202"/>
      <c r="E60" s="41">
        <v>0</v>
      </c>
      <c r="F60" s="41">
        <v>0</v>
      </c>
      <c r="G60" s="41">
        <v>0</v>
      </c>
      <c r="H60" s="383">
        <f>IF(ISERROR(HLOOKUP(107,'Fund 20 Grants'!$D$2:$W$12,11,FALSE)),0,(HLOOKUP(107,'Fund 20 Grants'!$D$2:$W$12,11,FALSE)))</f>
        <v>0</v>
      </c>
      <c r="I60" s="41">
        <v>0</v>
      </c>
      <c r="J60" s="564">
        <f t="shared" si="4"/>
        <v>0</v>
      </c>
    </row>
    <row r="61" spans="1:10" x14ac:dyDescent="0.15">
      <c r="A61" s="379">
        <f>HLOOKUP(108,'Fund 20 Grants'!$D$2:$W$3,2,FALSE)</f>
        <v>0</v>
      </c>
      <c r="B61" s="380"/>
      <c r="C61" s="381">
        <f>HLOOKUP(108,'Fund 20 Grants'!$D$2:$W$4,3,FALSE)</f>
        <v>0</v>
      </c>
      <c r="D61" s="202"/>
      <c r="E61" s="41">
        <v>0</v>
      </c>
      <c r="F61" s="41">
        <v>0</v>
      </c>
      <c r="G61" s="41">
        <v>0</v>
      </c>
      <c r="H61" s="383">
        <f>IF(ISERROR(HLOOKUP(108,'Fund 20 Grants'!$D$2:$W$12,11,FALSE)),0,(HLOOKUP(108,'Fund 20 Grants'!$D$2:$W$12,11,FALSE)))</f>
        <v>0</v>
      </c>
      <c r="I61" s="41">
        <v>0</v>
      </c>
      <c r="J61" s="564">
        <f t="shared" si="4"/>
        <v>0</v>
      </c>
    </row>
    <row r="62" spans="1:10" x14ac:dyDescent="0.15">
      <c r="A62" s="379">
        <f>HLOOKUP(109,'Fund 20 Grants'!$D$2:$W$3,2,FALSE)</f>
        <v>0</v>
      </c>
      <c r="B62" s="380"/>
      <c r="C62" s="381">
        <f>HLOOKUP(109,'Fund 20 Grants'!$D$2:$W$4,3,FALSE)</f>
        <v>0</v>
      </c>
      <c r="D62" s="202"/>
      <c r="E62" s="41">
        <v>0</v>
      </c>
      <c r="F62" s="41">
        <v>0</v>
      </c>
      <c r="G62" s="41">
        <v>0</v>
      </c>
      <c r="H62" s="383">
        <f>IF(ISERROR(HLOOKUP(109,'Fund 20 Grants'!$D$2:$W$12,11,FALSE)),0,(HLOOKUP(109,'Fund 20 Grants'!$D$2:$W$12,11,FALSE)))</f>
        <v>0</v>
      </c>
      <c r="I62" s="41">
        <v>0</v>
      </c>
      <c r="J62" s="564">
        <f t="shared" si="4"/>
        <v>0</v>
      </c>
    </row>
    <row r="63" spans="1:10" x14ac:dyDescent="0.15">
      <c r="A63" s="379">
        <f>HLOOKUP(110,'Fund 20 Grants'!$D$2:$W$3,2,FALSE)</f>
        <v>0</v>
      </c>
      <c r="B63" s="380"/>
      <c r="C63" s="381">
        <f>HLOOKUP(110,'Fund 20 Grants'!$D$2:$W$4,3,FALSE)</f>
        <v>0</v>
      </c>
      <c r="D63" s="40"/>
      <c r="E63" s="41">
        <v>0</v>
      </c>
      <c r="F63" s="41">
        <v>0</v>
      </c>
      <c r="G63" s="41">
        <v>0</v>
      </c>
      <c r="H63" s="383">
        <f>IF(ISERROR(HLOOKUP(110,'Fund 20 Grants'!$D$2:$W$12,11,FALSE)),0,(HLOOKUP(110,'Fund 20 Grants'!$D$2:$W$12,11,FALSE)))</f>
        <v>0</v>
      </c>
      <c r="I63" s="41">
        <v>0</v>
      </c>
      <c r="J63" s="564">
        <f t="shared" si="4"/>
        <v>0</v>
      </c>
    </row>
    <row r="64" spans="1:10" ht="11.25" thickBot="1" x14ac:dyDescent="0.2">
      <c r="C64" s="40"/>
      <c r="D64" s="115"/>
      <c r="F64" s="159"/>
      <c r="G64" s="159"/>
      <c r="J64" s="167"/>
    </row>
    <row r="65" spans="1:10" ht="12" thickTop="1" thickBot="1" x14ac:dyDescent="0.2">
      <c r="A65" s="115" t="s">
        <v>1527</v>
      </c>
      <c r="C65" s="115" t="s">
        <v>1350</v>
      </c>
      <c r="E65" s="151">
        <f t="shared" ref="E65:J65" si="5">SUM(E54:E64)</f>
        <v>0</v>
      </c>
      <c r="F65" s="151">
        <f t="shared" si="5"/>
        <v>0</v>
      </c>
      <c r="G65" s="151">
        <f t="shared" si="5"/>
        <v>0</v>
      </c>
      <c r="H65" s="151">
        <f t="shared" si="5"/>
        <v>0</v>
      </c>
      <c r="I65" s="151">
        <f t="shared" si="5"/>
        <v>0</v>
      </c>
      <c r="J65" s="169">
        <f t="shared" si="5"/>
        <v>0</v>
      </c>
    </row>
    <row r="66" spans="1:10" ht="12" thickTop="1" thickBot="1" x14ac:dyDescent="0.2">
      <c r="D66" s="115"/>
      <c r="F66" s="159"/>
      <c r="G66" s="159"/>
      <c r="J66" s="167"/>
    </row>
    <row r="67" spans="1:10" ht="12" thickTop="1" thickBot="1" x14ac:dyDescent="0.2">
      <c r="C67" s="115" t="s">
        <v>416</v>
      </c>
      <c r="D67" s="115"/>
      <c r="E67" s="193">
        <f t="shared" ref="E67:J67" si="6">E23+E50+E65</f>
        <v>0</v>
      </c>
      <c r="F67" s="193">
        <f t="shared" si="6"/>
        <v>0</v>
      </c>
      <c r="G67" s="193">
        <f t="shared" si="6"/>
        <v>0</v>
      </c>
      <c r="H67" s="193">
        <f t="shared" si="6"/>
        <v>0</v>
      </c>
      <c r="I67" s="193">
        <f t="shared" si="6"/>
        <v>0</v>
      </c>
      <c r="J67" s="600">
        <f t="shared" si="6"/>
        <v>0</v>
      </c>
    </row>
    <row r="68" spans="1:10" ht="11.25" thickTop="1" x14ac:dyDescent="0.15">
      <c r="C68" s="115"/>
      <c r="D68" s="115"/>
      <c r="F68" s="159"/>
      <c r="G68" s="159"/>
      <c r="J68" s="167"/>
    </row>
    <row r="69" spans="1:10" x14ac:dyDescent="0.15">
      <c r="B69" s="21" t="s">
        <v>1223</v>
      </c>
      <c r="C69" s="115"/>
      <c r="D69" s="35"/>
      <c r="F69" s="159"/>
      <c r="G69" s="159"/>
      <c r="J69" s="167"/>
    </row>
    <row r="70" spans="1:10" ht="12" customHeight="1" thickBot="1" x14ac:dyDescent="0.2">
      <c r="A70" s="35" t="s">
        <v>203</v>
      </c>
      <c r="C70" s="35" t="s">
        <v>1351</v>
      </c>
      <c r="D70" s="203"/>
      <c r="F70" s="159"/>
      <c r="G70" s="159"/>
      <c r="J70" s="167"/>
    </row>
    <row r="71" spans="1:10" ht="12" thickTop="1" thickBot="1" x14ac:dyDescent="0.2">
      <c r="A71" s="162" t="s">
        <v>105</v>
      </c>
      <c r="B71" s="205" t="s">
        <v>1229</v>
      </c>
      <c r="C71" s="2" t="s">
        <v>860</v>
      </c>
      <c r="D71" s="115"/>
      <c r="E71" s="670">
        <v>0</v>
      </c>
      <c r="F71" s="670">
        <v>0</v>
      </c>
      <c r="G71" s="670">
        <v>0</v>
      </c>
      <c r="H71" s="670">
        <v>0</v>
      </c>
      <c r="I71" s="670">
        <v>0</v>
      </c>
      <c r="J71" s="600">
        <f>+H71+I71</f>
        <v>0</v>
      </c>
    </row>
    <row r="72" spans="1:10" ht="11.25" thickTop="1" x14ac:dyDescent="0.15">
      <c r="C72" s="115"/>
      <c r="D72" s="115"/>
      <c r="F72" s="159"/>
      <c r="G72" s="159"/>
      <c r="J72" s="167"/>
    </row>
    <row r="73" spans="1:10" x14ac:dyDescent="0.15">
      <c r="B73" s="21" t="s">
        <v>792</v>
      </c>
      <c r="C73" s="115"/>
      <c r="D73" s="35"/>
      <c r="F73" s="159"/>
      <c r="G73" s="159"/>
      <c r="J73" s="167"/>
    </row>
    <row r="74" spans="1:10" x14ac:dyDescent="0.15">
      <c r="A74" s="35" t="s">
        <v>203</v>
      </c>
      <c r="C74" s="35" t="s">
        <v>1034</v>
      </c>
      <c r="D74" s="203"/>
      <c r="F74" s="159"/>
      <c r="G74" s="159"/>
      <c r="J74" s="167"/>
    </row>
    <row r="75" spans="1:10" x14ac:dyDescent="0.15">
      <c r="A75" s="374"/>
      <c r="C75" s="195"/>
      <c r="D75" s="203"/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564">
        <f t="shared" ref="J75:J84" si="7">H75+I75</f>
        <v>0</v>
      </c>
    </row>
    <row r="76" spans="1:10" x14ac:dyDescent="0.15">
      <c r="A76" s="374"/>
      <c r="C76" s="195"/>
      <c r="D76" s="203"/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564">
        <f t="shared" si="7"/>
        <v>0</v>
      </c>
    </row>
    <row r="77" spans="1:10" x14ac:dyDescent="0.15">
      <c r="A77" s="374"/>
      <c r="C77" s="195"/>
      <c r="D77" s="203"/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564">
        <f t="shared" si="7"/>
        <v>0</v>
      </c>
    </row>
    <row r="78" spans="1:10" x14ac:dyDescent="0.15">
      <c r="A78" s="374"/>
      <c r="C78" s="195"/>
      <c r="D78" s="203"/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564">
        <f t="shared" si="7"/>
        <v>0</v>
      </c>
    </row>
    <row r="79" spans="1:10" x14ac:dyDescent="0.15">
      <c r="A79" s="374"/>
      <c r="C79" s="195"/>
      <c r="D79" s="203"/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564">
        <f t="shared" si="7"/>
        <v>0</v>
      </c>
    </row>
    <row r="80" spans="1:10" x14ac:dyDescent="0.15">
      <c r="A80" s="374"/>
      <c r="C80" s="195"/>
      <c r="D80" s="203"/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564">
        <f t="shared" si="7"/>
        <v>0</v>
      </c>
    </row>
    <row r="81" spans="1:10" x14ac:dyDescent="0.15">
      <c r="A81" s="374"/>
      <c r="C81" s="195"/>
      <c r="D81" s="203"/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564">
        <f t="shared" si="7"/>
        <v>0</v>
      </c>
    </row>
    <row r="82" spans="1:10" x14ac:dyDescent="0.15">
      <c r="A82" s="374"/>
      <c r="C82" s="195"/>
      <c r="D82" s="203"/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564">
        <f t="shared" si="7"/>
        <v>0</v>
      </c>
    </row>
    <row r="83" spans="1:10" x14ac:dyDescent="0.15">
      <c r="A83" s="374"/>
      <c r="C83" s="195"/>
      <c r="D83" s="203"/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564">
        <f t="shared" si="7"/>
        <v>0</v>
      </c>
    </row>
    <row r="84" spans="1:10" x14ac:dyDescent="0.15">
      <c r="A84" s="374"/>
      <c r="C84" s="195"/>
      <c r="D84" s="115"/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564">
        <f t="shared" si="7"/>
        <v>0</v>
      </c>
    </row>
    <row r="85" spans="1:10" ht="11.25" thickBot="1" x14ac:dyDescent="0.2">
      <c r="C85" s="115"/>
      <c r="D85" s="115"/>
      <c r="F85" s="159"/>
      <c r="G85" s="159"/>
      <c r="J85" s="167"/>
    </row>
    <row r="86" spans="1:10" ht="12" thickTop="1" thickBot="1" x14ac:dyDescent="0.2">
      <c r="C86" s="115" t="s">
        <v>793</v>
      </c>
      <c r="D86" s="115"/>
      <c r="E86" s="193">
        <f t="shared" ref="E86:J86" si="8">SUM(E75:E85)</f>
        <v>0</v>
      </c>
      <c r="F86" s="193">
        <f t="shared" si="8"/>
        <v>0</v>
      </c>
      <c r="G86" s="193">
        <f t="shared" si="8"/>
        <v>0</v>
      </c>
      <c r="H86" s="193">
        <f t="shared" si="8"/>
        <v>0</v>
      </c>
      <c r="I86" s="193">
        <f t="shared" si="8"/>
        <v>0</v>
      </c>
      <c r="J86" s="600">
        <f t="shared" si="8"/>
        <v>0</v>
      </c>
    </row>
    <row r="87" spans="1:10" ht="21.75" customHeight="1" thickTop="1" thickBot="1" x14ac:dyDescent="0.2">
      <c r="C87" s="115"/>
      <c r="D87" s="196"/>
      <c r="F87" s="159"/>
      <c r="G87" s="159"/>
      <c r="J87" s="167"/>
    </row>
    <row r="88" spans="1:10" ht="11.25" thickBot="1" x14ac:dyDescent="0.2">
      <c r="A88" s="777" t="s">
        <v>1352</v>
      </c>
      <c r="B88" s="777"/>
      <c r="C88" s="777"/>
      <c r="D88" s="115"/>
      <c r="E88" s="171">
        <f t="shared" ref="E88:J88" si="9">E6+E67+E71+E86</f>
        <v>0</v>
      </c>
      <c r="F88" s="171">
        <f t="shared" si="9"/>
        <v>0</v>
      </c>
      <c r="G88" s="171">
        <f t="shared" si="9"/>
        <v>0</v>
      </c>
      <c r="H88" s="171">
        <f t="shared" si="9"/>
        <v>0</v>
      </c>
      <c r="I88" s="171">
        <f t="shared" si="9"/>
        <v>0</v>
      </c>
      <c r="J88" s="171">
        <f t="shared" si="9"/>
        <v>0</v>
      </c>
    </row>
    <row r="89" spans="1:10" x14ac:dyDescent="0.15">
      <c r="C89" s="115"/>
      <c r="D89" s="115"/>
      <c r="F89" s="159"/>
      <c r="G89" s="159"/>
      <c r="J89" s="167"/>
    </row>
    <row r="90" spans="1:10" x14ac:dyDescent="0.15">
      <c r="A90" s="660" t="s">
        <v>824</v>
      </c>
      <c r="B90" s="424"/>
      <c r="C90" s="495" t="s">
        <v>816</v>
      </c>
      <c r="D90" s="423"/>
      <c r="E90" s="423"/>
      <c r="F90" s="423"/>
      <c r="G90" s="423"/>
      <c r="H90" s="423"/>
      <c r="I90" s="179"/>
      <c r="J90" s="167"/>
    </row>
    <row r="91" spans="1:10" x14ac:dyDescent="0.15">
      <c r="A91" s="659" t="s">
        <v>105</v>
      </c>
      <c r="B91" s="501" t="s">
        <v>1437</v>
      </c>
      <c r="C91" s="2" t="s">
        <v>40</v>
      </c>
      <c r="E91" s="41">
        <v>0</v>
      </c>
      <c r="F91" s="41">
        <v>0</v>
      </c>
      <c r="G91" s="41">
        <v>0</v>
      </c>
      <c r="H91" s="41">
        <v>0</v>
      </c>
      <c r="I91" s="534">
        <v>0</v>
      </c>
      <c r="J91" s="535">
        <f>SUM(H91+I91)</f>
        <v>0</v>
      </c>
    </row>
    <row r="92" spans="1:10" x14ac:dyDescent="0.15">
      <c r="A92" s="490"/>
      <c r="B92" s="424"/>
      <c r="C92" s="423"/>
      <c r="D92" s="423"/>
      <c r="E92" s="423"/>
      <c r="F92" s="423"/>
      <c r="G92" s="423"/>
      <c r="H92" s="423"/>
      <c r="I92" s="423"/>
      <c r="J92" s="167"/>
    </row>
    <row r="93" spans="1:10" x14ac:dyDescent="0.15">
      <c r="C93" s="115"/>
      <c r="F93" s="159"/>
      <c r="G93" s="159"/>
      <c r="J93" s="167"/>
    </row>
    <row r="94" spans="1:10" x14ac:dyDescent="0.15">
      <c r="A94" s="18"/>
      <c r="C94" s="209" t="s">
        <v>199</v>
      </c>
      <c r="D94" s="35"/>
      <c r="F94" s="159"/>
      <c r="G94" s="8"/>
      <c r="J94" s="167"/>
    </row>
    <row r="95" spans="1:10" x14ac:dyDescent="0.15">
      <c r="A95" s="35" t="s">
        <v>203</v>
      </c>
      <c r="B95" s="159"/>
      <c r="C95" s="35" t="s">
        <v>1189</v>
      </c>
      <c r="D95" s="40"/>
      <c r="F95" s="159"/>
      <c r="G95" s="8"/>
      <c r="J95" s="167"/>
    </row>
    <row r="96" spans="1:10" x14ac:dyDescent="0.15">
      <c r="C96" s="40" t="s">
        <v>204</v>
      </c>
      <c r="D96" s="115"/>
      <c r="F96" s="177"/>
      <c r="G96" s="159"/>
      <c r="J96" s="167"/>
    </row>
    <row r="97" spans="1:10" x14ac:dyDescent="0.15">
      <c r="A97" s="379" t="e">
        <f>HLOOKUP(201,'Fund 20 Grants'!$D$2:$W$3,2,FALSE)</f>
        <v>#N/A</v>
      </c>
      <c r="B97" s="380"/>
      <c r="C97" s="381" t="e">
        <f>HLOOKUP(201,'Fund 20 Grants'!$D$2:$W$4,3,FALSE)</f>
        <v>#N/A</v>
      </c>
      <c r="D97" s="115"/>
      <c r="E97" s="41">
        <v>0</v>
      </c>
      <c r="F97" s="41">
        <v>0</v>
      </c>
      <c r="G97" s="41">
        <v>0</v>
      </c>
      <c r="H97" s="383">
        <f>IF(ISERROR(HLOOKUP(201,'Fund 20 Grants'!$D$2:$W$113,112,FALSE)),0,(HLOOKUP(201,'Fund 20 Grants'!$D$2:$W$113,112,FALSE)))</f>
        <v>0</v>
      </c>
      <c r="I97" s="41">
        <v>0</v>
      </c>
      <c r="J97" s="564">
        <f t="shared" ref="J97:J108" si="10">H97+I97</f>
        <v>0</v>
      </c>
    </row>
    <row r="98" spans="1:10" x14ac:dyDescent="0.15">
      <c r="A98" s="379" t="e">
        <f>HLOOKUP(202,'Fund 20 Grants'!$D$2:$W$3,2,FALSE)</f>
        <v>#N/A</v>
      </c>
      <c r="B98" s="380"/>
      <c r="C98" s="381" t="e">
        <f>HLOOKUP(202,'Fund 20 Grants'!$D$2:$W$4,3,FALSE)</f>
        <v>#N/A</v>
      </c>
      <c r="D98" s="115"/>
      <c r="E98" s="41">
        <v>0</v>
      </c>
      <c r="F98" s="41">
        <v>0</v>
      </c>
      <c r="G98" s="41">
        <v>0</v>
      </c>
      <c r="H98" s="383">
        <f>IF(ISERROR(HLOOKUP(202,'Fund 20 Grants'!$D$2:$W$13,112,FALSE)),0,(HLOOKUP(202,'Fund 20 Grants'!$D$2:$W$113,112,FALSE)))</f>
        <v>0</v>
      </c>
      <c r="I98" s="41">
        <v>0</v>
      </c>
      <c r="J98" s="564">
        <f t="shared" si="10"/>
        <v>0</v>
      </c>
    </row>
    <row r="99" spans="1:10" x14ac:dyDescent="0.15">
      <c r="A99" s="379" t="e">
        <f>HLOOKUP(203,'Fund 20 Grants'!$D$2:$W$3,2,FALSE)</f>
        <v>#N/A</v>
      </c>
      <c r="B99" s="380"/>
      <c r="C99" s="381" t="e">
        <f>HLOOKUP(203,'Fund 20 Grants'!$D$2:$W$4,3,FALSE)</f>
        <v>#N/A</v>
      </c>
      <c r="D99" s="115"/>
      <c r="E99" s="41">
        <v>0</v>
      </c>
      <c r="F99" s="41">
        <v>0</v>
      </c>
      <c r="G99" s="41">
        <v>0</v>
      </c>
      <c r="H99" s="383">
        <f>IF(ISERROR(HLOOKUP(203,'Fund 20 Grants'!$D$2:$W$113,12,FALSE)),0,(HLOOKUP(203,'Fund 20 Grants'!$D$2:$W$113,112,FALSE)))</f>
        <v>0</v>
      </c>
      <c r="I99" s="41">
        <v>0</v>
      </c>
      <c r="J99" s="564">
        <f t="shared" si="10"/>
        <v>0</v>
      </c>
    </row>
    <row r="100" spans="1:10" x14ac:dyDescent="0.15">
      <c r="A100" s="379" t="e">
        <f>HLOOKUP(204,'Fund 20 Grants'!$D$2:$W$3,2,FALSE)</f>
        <v>#N/A</v>
      </c>
      <c r="B100" s="380"/>
      <c r="C100" s="381" t="e">
        <f>HLOOKUP(204,'Fund 20 Grants'!$D$2:$W$4,3,FALSE)</f>
        <v>#N/A</v>
      </c>
      <c r="D100" s="115"/>
      <c r="E100" s="41">
        <v>0</v>
      </c>
      <c r="F100" s="41">
        <v>0</v>
      </c>
      <c r="G100" s="41">
        <v>0</v>
      </c>
      <c r="H100" s="383">
        <f>IF(ISERROR(HLOOKUP(204,'Fund 20 Grants'!$D$2:$W$113,112,FALSE)),0,(HLOOKUP(204,'Fund 20 Grants'!$D$2:$W$113,112,FALSE)))</f>
        <v>0</v>
      </c>
      <c r="I100" s="41">
        <v>0</v>
      </c>
      <c r="J100" s="564">
        <f t="shared" si="10"/>
        <v>0</v>
      </c>
    </row>
    <row r="101" spans="1:10" x14ac:dyDescent="0.15">
      <c r="A101" s="379" t="e">
        <f>HLOOKUP(205,'Fund 20 Grants'!$D$2:$W$3,2,FALSE)</f>
        <v>#N/A</v>
      </c>
      <c r="B101" s="380"/>
      <c r="C101" s="381" t="e">
        <f>HLOOKUP(205,'Fund 20 Grants'!$D$2:$W$4,3,FALSE)</f>
        <v>#N/A</v>
      </c>
      <c r="D101" s="115"/>
      <c r="E101" s="41">
        <v>0</v>
      </c>
      <c r="F101" s="41">
        <v>0</v>
      </c>
      <c r="G101" s="41">
        <v>0</v>
      </c>
      <c r="H101" s="383">
        <f>IF(ISERROR(HLOOKUP(205,'Fund 20 Grants'!$D$2:$W$113,112,FALSE)),0,(HLOOKUP(205,'Fund 20 Grants'!$D$2:$W$113,112,FALSE)))</f>
        <v>0</v>
      </c>
      <c r="I101" s="41">
        <v>0</v>
      </c>
      <c r="J101" s="564">
        <f t="shared" si="10"/>
        <v>0</v>
      </c>
    </row>
    <row r="102" spans="1:10" x14ac:dyDescent="0.15">
      <c r="A102" s="379" t="e">
        <f>HLOOKUP(206,'Fund 20 Grants'!$D$2:$W$3,2,FALSE)</f>
        <v>#N/A</v>
      </c>
      <c r="B102" s="380"/>
      <c r="C102" s="381" t="e">
        <f>HLOOKUP(206,'Fund 20 Grants'!$D$2:$W$4,3,FALSE)</f>
        <v>#N/A</v>
      </c>
      <c r="D102" s="115"/>
      <c r="E102" s="41">
        <v>0</v>
      </c>
      <c r="F102" s="41">
        <v>0</v>
      </c>
      <c r="G102" s="41">
        <v>0</v>
      </c>
      <c r="H102" s="383">
        <f>IF(ISERROR(HLOOKUP(206,'Fund 20 Grants'!$D$2:$W$113,112,FALSE)),0,(HLOOKUP(206,'Fund 20 Grants'!$D$2:$W$113,112,FALSE)))</f>
        <v>0</v>
      </c>
      <c r="I102" s="41">
        <v>0</v>
      </c>
      <c r="J102" s="564">
        <f t="shared" si="10"/>
        <v>0</v>
      </c>
    </row>
    <row r="103" spans="1:10" x14ac:dyDescent="0.15">
      <c r="A103" s="379" t="e">
        <f>HLOOKUP(207,'Fund 20 Grants'!$D$2:$W$3,2,FALSE)</f>
        <v>#N/A</v>
      </c>
      <c r="B103" s="380"/>
      <c r="C103" s="381" t="e">
        <f>HLOOKUP(207,'Fund 20 Grants'!$D$2:$W$4,3,FALSE)</f>
        <v>#N/A</v>
      </c>
      <c r="D103" s="115"/>
      <c r="E103" s="41">
        <v>0</v>
      </c>
      <c r="F103" s="41">
        <v>0</v>
      </c>
      <c r="G103" s="41">
        <v>0</v>
      </c>
      <c r="H103" s="383">
        <f>IF(ISERROR(HLOOKUP(207,'Fund 20 Grants'!$D$2:$W$113,112,FALSE)),0,(HLOOKUP(207,'Fund 20 Grants'!$D$2:$W$113,112,FALSE)))</f>
        <v>0</v>
      </c>
      <c r="I103" s="41">
        <v>0</v>
      </c>
      <c r="J103" s="564">
        <f t="shared" si="10"/>
        <v>0</v>
      </c>
    </row>
    <row r="104" spans="1:10" x14ac:dyDescent="0.15">
      <c r="A104" s="379" t="e">
        <f>HLOOKUP(208,'Fund 20 Grants'!$D$2:$W$3,2,FALSE)</f>
        <v>#N/A</v>
      </c>
      <c r="B104" s="380"/>
      <c r="C104" s="381" t="e">
        <f>HLOOKUP(208,'Fund 20 Grants'!$D$2:$W$4,3,FALSE)</f>
        <v>#N/A</v>
      </c>
      <c r="D104" s="115"/>
      <c r="E104" s="41">
        <v>0</v>
      </c>
      <c r="F104" s="41">
        <v>0</v>
      </c>
      <c r="G104" s="41">
        <v>0</v>
      </c>
      <c r="H104" s="383">
        <f>IF(ISERROR(HLOOKUP(208,'Fund 20 Grants'!$D$2:$W$113,112,FALSE)),0,(HLOOKUP(208,'Fund 20 Grants'!$D$2:$W$113,112,FALSE)))</f>
        <v>0</v>
      </c>
      <c r="I104" s="41">
        <v>0</v>
      </c>
      <c r="J104" s="564">
        <f t="shared" si="10"/>
        <v>0</v>
      </c>
    </row>
    <row r="105" spans="1:10" x14ac:dyDescent="0.15">
      <c r="A105" s="379" t="e">
        <f>HLOOKUP(209,'Fund 20 Grants'!$D$2:$W$3,2,FALSE)</f>
        <v>#N/A</v>
      </c>
      <c r="B105" s="380"/>
      <c r="C105" s="381" t="e">
        <f>HLOOKUP(209,'Fund 20 Grants'!$D$2:$W$4,3,FALSE)</f>
        <v>#N/A</v>
      </c>
      <c r="D105" s="194"/>
      <c r="E105" s="41">
        <v>0</v>
      </c>
      <c r="F105" s="41">
        <v>0</v>
      </c>
      <c r="G105" s="41">
        <v>0</v>
      </c>
      <c r="H105" s="383">
        <f>IF(ISERROR(HLOOKUP(209,'Fund 20 Grants'!$D$2:$W$113,112,FALSE)),0,(HLOOKUP(209,'Fund 20 Grants'!$D$2:$W$113,112,FALSE)))</f>
        <v>0</v>
      </c>
      <c r="I105" s="41">
        <v>0</v>
      </c>
      <c r="J105" s="564">
        <f t="shared" si="10"/>
        <v>0</v>
      </c>
    </row>
    <row r="106" spans="1:10" x14ac:dyDescent="0.15">
      <c r="A106" s="379" t="e">
        <f>HLOOKUP(210,'Fund 20 Grants'!$D$2:$W$3,2,FALSE)</f>
        <v>#N/A</v>
      </c>
      <c r="B106" s="380"/>
      <c r="C106" s="381" t="e">
        <f>HLOOKUP(210,'Fund 20 Grants'!$D$2:$W$4,3,FALSE)</f>
        <v>#N/A</v>
      </c>
      <c r="D106" s="115"/>
      <c r="E106" s="41">
        <v>0</v>
      </c>
      <c r="F106" s="41">
        <v>0</v>
      </c>
      <c r="G106" s="41">
        <v>0</v>
      </c>
      <c r="H106" s="383">
        <f>IF(ISERROR(HLOOKUP(210,'Fund 20 Grants'!$D$2:$W$113,112,FALSE)),0,(HLOOKUP(210,'Fund 20 Grants'!$D$2:$W$113,112,FALSE)))</f>
        <v>0</v>
      </c>
      <c r="I106" s="41">
        <v>0</v>
      </c>
      <c r="J106" s="564">
        <f t="shared" si="10"/>
        <v>0</v>
      </c>
    </row>
    <row r="107" spans="1:10" x14ac:dyDescent="0.15">
      <c r="A107" s="379" t="e">
        <f>HLOOKUP(211,'Fund 20 Grants'!$D$2:$W$3,2,FALSE)</f>
        <v>#N/A</v>
      </c>
      <c r="B107" s="380"/>
      <c r="C107" s="381" t="e">
        <f>HLOOKUP(211,'Fund 20 Grants'!$D$2:$W$4,3,FALSE)</f>
        <v>#N/A</v>
      </c>
      <c r="D107" s="194"/>
      <c r="E107" s="41">
        <v>0</v>
      </c>
      <c r="F107" s="41">
        <v>0</v>
      </c>
      <c r="G107" s="41">
        <v>0</v>
      </c>
      <c r="H107" s="383">
        <f>IF(ISERROR(HLOOKUP(211,'Fund 20 Grants'!$D$2:$W$113,112,FALSE)),0,(HLOOKUP(211,'Fund 20 Grants'!$D$2:$W$113,112,FALSE)))</f>
        <v>0</v>
      </c>
      <c r="I107" s="41">
        <v>0</v>
      </c>
      <c r="J107" s="564">
        <f t="shared" si="10"/>
        <v>0</v>
      </c>
    </row>
    <row r="108" spans="1:10" x14ac:dyDescent="0.15">
      <c r="A108" s="379" t="e">
        <f>HLOOKUP(212,'Fund 20 Grants'!$D$2:$W$3,2,FALSE)</f>
        <v>#N/A</v>
      </c>
      <c r="B108" s="380"/>
      <c r="C108" s="381" t="e">
        <f>HLOOKUP(212,'Fund 20 Grants'!$D$2:$W$4,3,FALSE)</f>
        <v>#N/A</v>
      </c>
      <c r="E108" s="41">
        <v>0</v>
      </c>
      <c r="F108" s="41">
        <v>0</v>
      </c>
      <c r="G108" s="41">
        <v>0</v>
      </c>
      <c r="H108" s="383">
        <f>IF(ISERROR(HLOOKUP(212,'Fund 20 Grants'!$D$2:$W$113,112,FALSE)),0,(HLOOKUP(212,'Fund 20 Grants'!$D$2:$W$113,112,FALSE)))</f>
        <v>0</v>
      </c>
      <c r="I108" s="41">
        <v>0</v>
      </c>
      <c r="J108" s="564">
        <f t="shared" si="10"/>
        <v>0</v>
      </c>
    </row>
    <row r="109" spans="1:10" ht="11.25" thickBot="1" x14ac:dyDescent="0.2">
      <c r="A109" s="152"/>
      <c r="B109" s="167"/>
      <c r="D109" s="115"/>
      <c r="E109" s="14"/>
      <c r="F109" s="14"/>
      <c r="G109" s="14"/>
      <c r="H109" s="14"/>
      <c r="J109" s="167"/>
    </row>
    <row r="110" spans="1:10" ht="12" thickTop="1" thickBot="1" x14ac:dyDescent="0.2">
      <c r="C110" s="115" t="s">
        <v>1498</v>
      </c>
      <c r="E110" s="169">
        <f t="shared" ref="E110:J110" si="11">SUM(E97:E108)</f>
        <v>0</v>
      </c>
      <c r="F110" s="169">
        <f t="shared" si="11"/>
        <v>0</v>
      </c>
      <c r="G110" s="169">
        <f t="shared" si="11"/>
        <v>0</v>
      </c>
      <c r="H110" s="169">
        <f t="shared" si="11"/>
        <v>0</v>
      </c>
      <c r="I110" s="169">
        <f t="shared" si="11"/>
        <v>0</v>
      </c>
      <c r="J110" s="169">
        <f t="shared" si="11"/>
        <v>0</v>
      </c>
    </row>
    <row r="111" spans="1:10" ht="11.25" thickTop="1" x14ac:dyDescent="0.15">
      <c r="F111" s="159"/>
      <c r="G111" s="159"/>
      <c r="J111" s="167"/>
    </row>
    <row r="112" spans="1:10" x14ac:dyDescent="0.15">
      <c r="B112" s="40" t="s">
        <v>1185</v>
      </c>
      <c r="D112" s="35"/>
      <c r="F112" s="159"/>
      <c r="G112" s="159"/>
      <c r="J112" s="167"/>
    </row>
    <row r="113" spans="1:10" x14ac:dyDescent="0.15">
      <c r="A113" s="35" t="s">
        <v>203</v>
      </c>
      <c r="B113" s="159"/>
      <c r="C113" s="35" t="s">
        <v>1188</v>
      </c>
      <c r="D113" s="35"/>
      <c r="F113" s="159"/>
      <c r="G113" s="159"/>
      <c r="J113" s="167"/>
    </row>
    <row r="114" spans="1:10" x14ac:dyDescent="0.15">
      <c r="A114" s="35"/>
      <c r="B114" s="159"/>
      <c r="C114" s="40" t="s">
        <v>554</v>
      </c>
      <c r="D114" s="178"/>
      <c r="F114" s="159"/>
      <c r="G114" s="159"/>
      <c r="J114" s="167"/>
    </row>
    <row r="115" spans="1:10" x14ac:dyDescent="0.15">
      <c r="A115" s="379" t="e">
        <f>HLOOKUP(301,'Fund 20 Grants'!$D$2:$W$3,2,FALSE)</f>
        <v>#N/A</v>
      </c>
      <c r="B115" s="380"/>
      <c r="C115" s="381" t="e">
        <f>HLOOKUP(301,'Fund 20 Grants'!$D$2:$W$4,3,FALSE)</f>
        <v>#N/A</v>
      </c>
      <c r="D115" s="178"/>
      <c r="E115" s="41">
        <v>0</v>
      </c>
      <c r="F115" s="41">
        <v>0</v>
      </c>
      <c r="G115" s="41">
        <v>0</v>
      </c>
      <c r="H115" s="383">
        <f>IF(ISERROR(HLOOKUP(301,'Fund 20 Grants'!$D$2:$W$113,112,FALSE)),0,(HLOOKUP(301,'Fund 20 Grants'!$D$2:$W$113,112,FALSE)))</f>
        <v>0</v>
      </c>
      <c r="I115" s="41">
        <v>0</v>
      </c>
      <c r="J115" s="564">
        <f t="shared" ref="J115:J134" si="12">H115+I115</f>
        <v>0</v>
      </c>
    </row>
    <row r="116" spans="1:10" x14ac:dyDescent="0.15">
      <c r="A116" s="379" t="e">
        <f>HLOOKUP(302,'Fund 20 Grants'!$D$2:$W$3,2,FALSE)</f>
        <v>#N/A</v>
      </c>
      <c r="B116" s="380"/>
      <c r="C116" s="381" t="e">
        <f>HLOOKUP(302,'Fund 20 Grants'!$D$2:$W$4,3,FALSE)</f>
        <v>#N/A</v>
      </c>
      <c r="D116" s="178"/>
      <c r="E116" s="41">
        <v>0</v>
      </c>
      <c r="F116" s="41">
        <v>0</v>
      </c>
      <c r="G116" s="41">
        <v>0</v>
      </c>
      <c r="H116" s="383">
        <f>IF(ISERROR(HLOOKUP(302,'Fund 20 Grants'!$D$2:$W$113,112,FALSE)),0,(HLOOKUP(302,'Fund 20 Grants'!$D$2:$W$113,112,FALSE)))</f>
        <v>0</v>
      </c>
      <c r="I116" s="41">
        <v>0</v>
      </c>
      <c r="J116" s="564">
        <f t="shared" si="12"/>
        <v>0</v>
      </c>
    </row>
    <row r="117" spans="1:10" x14ac:dyDescent="0.15">
      <c r="A117" s="379" t="e">
        <f>HLOOKUP(303,'Fund 20 Grants'!$D$2:$W$3,2,FALSE)</f>
        <v>#N/A</v>
      </c>
      <c r="B117" s="380"/>
      <c r="C117" s="381" t="e">
        <f>HLOOKUP(303,'Fund 20 Grants'!$D$2:$W$4,3,FALSE)</f>
        <v>#N/A</v>
      </c>
      <c r="D117" s="178"/>
      <c r="E117" s="41">
        <v>0</v>
      </c>
      <c r="F117" s="41">
        <v>0</v>
      </c>
      <c r="G117" s="41">
        <v>0</v>
      </c>
      <c r="H117" s="383">
        <f>IF(ISERROR(HLOOKUP(303,'Fund 20 Grants'!$D$2:$W$113,112,FALSE)),0,(HLOOKUP(303,'Fund 20 Grants'!$D$2:$W$113,112,FALSE)))</f>
        <v>0</v>
      </c>
      <c r="I117" s="41">
        <v>0</v>
      </c>
      <c r="J117" s="564">
        <f t="shared" si="12"/>
        <v>0</v>
      </c>
    </row>
    <row r="118" spans="1:10" x14ac:dyDescent="0.15">
      <c r="A118" s="379" t="e">
        <f>HLOOKUP(304,'Fund 20 Grants'!$D$2:$W$3,2,FALSE)</f>
        <v>#N/A</v>
      </c>
      <c r="B118" s="380"/>
      <c r="C118" s="381" t="e">
        <f>HLOOKUP(304,'Fund 20 Grants'!$D$2:$W$4,3,FALSE)</f>
        <v>#N/A</v>
      </c>
      <c r="D118" s="178"/>
      <c r="E118" s="41">
        <v>0</v>
      </c>
      <c r="F118" s="41">
        <v>0</v>
      </c>
      <c r="G118" s="41">
        <v>0</v>
      </c>
      <c r="H118" s="383">
        <f>IF(ISERROR(HLOOKUP(304,'Fund 20 Grants'!$D$2:$W$113,112,FALSE)),0,(HLOOKUP(304,'Fund 20 Grants'!$D$2:$W$113,112,FALSE)))</f>
        <v>0</v>
      </c>
      <c r="I118" s="41">
        <v>0</v>
      </c>
      <c r="J118" s="564">
        <f t="shared" si="12"/>
        <v>0</v>
      </c>
    </row>
    <row r="119" spans="1:10" x14ac:dyDescent="0.15">
      <c r="A119" s="379" t="e">
        <f>HLOOKUP(305,'Fund 20 Grants'!$D$2:$W$3,2,FALSE)</f>
        <v>#N/A</v>
      </c>
      <c r="B119" s="380"/>
      <c r="C119" s="381" t="e">
        <f>HLOOKUP(305,'Fund 20 Grants'!$D$2:$W$4,3,FALSE)</f>
        <v>#N/A</v>
      </c>
      <c r="D119" s="178"/>
      <c r="E119" s="41">
        <v>0</v>
      </c>
      <c r="F119" s="41">
        <v>0</v>
      </c>
      <c r="G119" s="41">
        <v>0</v>
      </c>
      <c r="H119" s="383">
        <f>IF(ISERROR(HLOOKUP(305,'Fund 20 Grants'!$D$2:$W$113,112,FALSE)),0,(HLOOKUP(305,'Fund 20 Grants'!$D$2:$W$113,112,FALSE)))</f>
        <v>0</v>
      </c>
      <c r="I119" s="41">
        <v>0</v>
      </c>
      <c r="J119" s="564">
        <f t="shared" si="12"/>
        <v>0</v>
      </c>
    </row>
    <row r="120" spans="1:10" x14ac:dyDescent="0.15">
      <c r="A120" s="379" t="e">
        <f>HLOOKUP(306,'Fund 20 Grants'!$D$2:$W$3,2,FALSE)</f>
        <v>#N/A</v>
      </c>
      <c r="B120" s="380"/>
      <c r="C120" s="381" t="e">
        <f>HLOOKUP(306,'Fund 20 Grants'!$D$2:$W$4,3,FALSE)</f>
        <v>#N/A</v>
      </c>
      <c r="D120" s="178"/>
      <c r="E120" s="41">
        <v>0</v>
      </c>
      <c r="F120" s="41">
        <v>0</v>
      </c>
      <c r="G120" s="41">
        <v>0</v>
      </c>
      <c r="H120" s="383">
        <f>IF(ISERROR(HLOOKUP(306,'Fund 20 Grants'!$D$2:$W$113,112,FALSE)),0,(HLOOKUP(306,'Fund 20 Grants'!$D$2:$W$113,112,FALSE)))</f>
        <v>0</v>
      </c>
      <c r="I120" s="41">
        <v>0</v>
      </c>
      <c r="J120" s="564">
        <f t="shared" si="12"/>
        <v>0</v>
      </c>
    </row>
    <row r="121" spans="1:10" x14ac:dyDescent="0.15">
      <c r="A121" s="379" t="e">
        <f>HLOOKUP(307,'Fund 20 Grants'!$D$2:$W$3,2,FALSE)</f>
        <v>#N/A</v>
      </c>
      <c r="B121" s="380"/>
      <c r="C121" s="381" t="e">
        <f>HLOOKUP(307,'Fund 20 Grants'!$D$2:$W$4,3,FALSE)</f>
        <v>#N/A</v>
      </c>
      <c r="D121" s="178"/>
      <c r="E121" s="41">
        <v>0</v>
      </c>
      <c r="F121" s="41">
        <v>0</v>
      </c>
      <c r="G121" s="41">
        <v>0</v>
      </c>
      <c r="H121" s="383">
        <f>IF(ISERROR(HLOOKUP(307,'Fund 20 Grants'!$D$2:$W$113,112,FALSE)),0,(HLOOKUP(307,'Fund 20 Grants'!$D$2:$W$113,112,FALSE)))</f>
        <v>0</v>
      </c>
      <c r="I121" s="41">
        <v>0</v>
      </c>
      <c r="J121" s="564">
        <f t="shared" si="12"/>
        <v>0</v>
      </c>
    </row>
    <row r="122" spans="1:10" x14ac:dyDescent="0.15">
      <c r="A122" s="379" t="e">
        <f>HLOOKUP(308,'Fund 20 Grants'!$D$2:$W$3,2,FALSE)</f>
        <v>#N/A</v>
      </c>
      <c r="B122" s="380"/>
      <c r="C122" s="381" t="e">
        <f>HLOOKUP(308,'Fund 20 Grants'!$D$2:$W$4,3,FALSE)</f>
        <v>#N/A</v>
      </c>
      <c r="D122" s="178"/>
      <c r="E122" s="41">
        <v>0</v>
      </c>
      <c r="F122" s="41">
        <v>0</v>
      </c>
      <c r="G122" s="41">
        <v>0</v>
      </c>
      <c r="H122" s="383">
        <f>IF(ISERROR(HLOOKUP(308,'Fund 20 Grants'!$D$2:$W$113,112,FALSE)),0,(HLOOKUP(308,'Fund 20 Grants'!$D$2:$W$113,112,FALSE)))</f>
        <v>0</v>
      </c>
      <c r="I122" s="41">
        <v>0</v>
      </c>
      <c r="J122" s="564">
        <f t="shared" si="12"/>
        <v>0</v>
      </c>
    </row>
    <row r="123" spans="1:10" x14ac:dyDescent="0.15">
      <c r="A123" s="379" t="e">
        <f>HLOOKUP(309,'Fund 20 Grants'!$D$2:$W$3,2,FALSE)</f>
        <v>#N/A</v>
      </c>
      <c r="B123" s="380"/>
      <c r="C123" s="381" t="e">
        <f>HLOOKUP(309,'Fund 20 Grants'!$D$2:$W$4,3,FALSE)</f>
        <v>#N/A</v>
      </c>
      <c r="D123" s="178"/>
      <c r="E123" s="41">
        <v>0</v>
      </c>
      <c r="F123" s="41">
        <v>0</v>
      </c>
      <c r="G123" s="41">
        <v>0</v>
      </c>
      <c r="H123" s="383">
        <f>IF(ISERROR(HLOOKUP(309,'Fund 20 Grants'!$D$2:$W$113,112,FALSE)),0,(HLOOKUP(309,'Fund 20 Grants'!$D$2:$W$113,112,FALSE)))</f>
        <v>0</v>
      </c>
      <c r="I123" s="41">
        <v>0</v>
      </c>
      <c r="J123" s="564">
        <f t="shared" si="12"/>
        <v>0</v>
      </c>
    </row>
    <row r="124" spans="1:10" x14ac:dyDescent="0.15">
      <c r="A124" s="379" t="e">
        <f>HLOOKUP(310,'Fund 20 Grants'!$D$2:$W$3,2,FALSE)</f>
        <v>#N/A</v>
      </c>
      <c r="B124" s="380"/>
      <c r="C124" s="381" t="e">
        <f>HLOOKUP(310,'Fund 20 Grants'!$D$2:$W$4,3,FALSE)</f>
        <v>#N/A</v>
      </c>
      <c r="D124" s="178"/>
      <c r="E124" s="41">
        <v>0</v>
      </c>
      <c r="F124" s="41">
        <v>0</v>
      </c>
      <c r="G124" s="41">
        <v>0</v>
      </c>
      <c r="H124" s="383">
        <f>IF(ISERROR(HLOOKUP(310,'Fund 20 Grants'!$D$2:$W$113,112,FALSE)),0,(HLOOKUP(310,'Fund 20 Grants'!$D$2:$W$113,112,FALSE)))</f>
        <v>0</v>
      </c>
      <c r="I124" s="41">
        <v>0</v>
      </c>
      <c r="J124" s="564">
        <f t="shared" si="12"/>
        <v>0</v>
      </c>
    </row>
    <row r="125" spans="1:10" x14ac:dyDescent="0.15">
      <c r="A125" s="379" t="e">
        <f>HLOOKUP(311,'Fund 20 Grants'!$D$2:$W$3,2,FALSE)</f>
        <v>#N/A</v>
      </c>
      <c r="B125" s="380"/>
      <c r="C125" s="381" t="e">
        <f>HLOOKUP(311,'Fund 20 Grants'!$D$2:$W$4,3,FALSE)</f>
        <v>#N/A</v>
      </c>
      <c r="D125" s="178"/>
      <c r="E125" s="41">
        <v>0</v>
      </c>
      <c r="F125" s="41">
        <v>0</v>
      </c>
      <c r="G125" s="41">
        <v>0</v>
      </c>
      <c r="H125" s="383">
        <f>IF(ISERROR(HLOOKUP(311,'Fund 20 Grants'!$D$2:$W$113,112,FALSE)),0,(HLOOKUP(311,'Fund 20 Grants'!$D$2:$W$113,112,FALSE)))</f>
        <v>0</v>
      </c>
      <c r="I125" s="41">
        <v>0</v>
      </c>
      <c r="J125" s="564">
        <f t="shared" si="12"/>
        <v>0</v>
      </c>
    </row>
    <row r="126" spans="1:10" x14ac:dyDescent="0.15">
      <c r="A126" s="379" t="e">
        <f>HLOOKUP(312,'Fund 20 Grants'!$D$2:$W$3,2,FALSE)</f>
        <v>#N/A</v>
      </c>
      <c r="B126" s="380"/>
      <c r="C126" s="381" t="e">
        <f>HLOOKUP(312,'Fund 20 Grants'!$D$2:$W$4,3,FALSE)</f>
        <v>#N/A</v>
      </c>
      <c r="D126" s="178"/>
      <c r="E126" s="41">
        <v>0</v>
      </c>
      <c r="F126" s="41">
        <v>0</v>
      </c>
      <c r="G126" s="41">
        <v>0</v>
      </c>
      <c r="H126" s="383">
        <f>IF(ISERROR(HLOOKUP(312,'Fund 20 Grants'!$D$2:$W$113,112,FALSE)),0,(HLOOKUP(312,'Fund 20 Grants'!$D$2:$W$113,112,FALSE)))</f>
        <v>0</v>
      </c>
      <c r="I126" s="41">
        <v>0</v>
      </c>
      <c r="J126" s="564">
        <f t="shared" si="12"/>
        <v>0</v>
      </c>
    </row>
    <row r="127" spans="1:10" x14ac:dyDescent="0.15">
      <c r="A127" s="379" t="e">
        <f>HLOOKUP(313,'Fund 20 Grants'!$D$2:$W$3,2,FALSE)</f>
        <v>#N/A</v>
      </c>
      <c r="B127" s="380"/>
      <c r="C127" s="381" t="e">
        <f>HLOOKUP(313,'Fund 20 Grants'!$D$2:$W$4,3,FALSE)</f>
        <v>#N/A</v>
      </c>
      <c r="D127" s="178"/>
      <c r="E127" s="41">
        <v>0</v>
      </c>
      <c r="F127" s="41">
        <v>0</v>
      </c>
      <c r="G127" s="41">
        <v>0</v>
      </c>
      <c r="H127" s="383">
        <f>IF(ISERROR(HLOOKUP(313,'Fund 20 Grants'!$D$2:$W$113,112,FALSE)),0,(HLOOKUP(313,'Fund 20 Grants'!$D$2:$W$113,112,FALSE)))</f>
        <v>0</v>
      </c>
      <c r="I127" s="41">
        <v>0</v>
      </c>
      <c r="J127" s="564">
        <f t="shared" si="12"/>
        <v>0</v>
      </c>
    </row>
    <row r="128" spans="1:10" x14ac:dyDescent="0.15">
      <c r="A128" s="379" t="e">
        <f>HLOOKUP(314,'Fund 20 Grants'!$D$2:$W$3,2,FALSE)</f>
        <v>#N/A</v>
      </c>
      <c r="B128" s="380"/>
      <c r="C128" s="381" t="e">
        <f>HLOOKUP(314,'Fund 20 Grants'!$D$2:$W$4,3,FALSE)</f>
        <v>#N/A</v>
      </c>
      <c r="D128" s="178"/>
      <c r="E128" s="41">
        <v>0</v>
      </c>
      <c r="F128" s="41">
        <v>0</v>
      </c>
      <c r="G128" s="41">
        <v>0</v>
      </c>
      <c r="H128" s="383">
        <f>IF(ISERROR(HLOOKUP(314,'Fund 20 Grants'!$D$2:$W$113,112,FALSE)),0,(HLOOKUP(314,'Fund 20 Grants'!$D$2:$W$113,112,FALSE)))</f>
        <v>0</v>
      </c>
      <c r="I128" s="41">
        <v>0</v>
      </c>
      <c r="J128" s="564">
        <f t="shared" si="12"/>
        <v>0</v>
      </c>
    </row>
    <row r="129" spans="1:10" x14ac:dyDescent="0.15">
      <c r="A129" s="379" t="e">
        <f>HLOOKUP(315,'Fund 20 Grants'!$D$2:$W$3,2,FALSE)</f>
        <v>#N/A</v>
      </c>
      <c r="B129" s="380"/>
      <c r="C129" s="381" t="e">
        <f>HLOOKUP(315,'Fund 20 Grants'!$D$2:$W$4,3,FALSE)</f>
        <v>#N/A</v>
      </c>
      <c r="D129" s="178"/>
      <c r="E129" s="41">
        <v>0</v>
      </c>
      <c r="F129" s="41">
        <v>0</v>
      </c>
      <c r="G129" s="41">
        <v>0</v>
      </c>
      <c r="H129" s="383">
        <f>IF(ISERROR(HLOOKUP(315,'Fund 20 Grants'!$D$2:$W$113,112,FALSE)),0,(HLOOKUP(315,'Fund 20 Grants'!$D$2:$W$113,112,FALSE)))</f>
        <v>0</v>
      </c>
      <c r="I129" s="41">
        <v>0</v>
      </c>
      <c r="J129" s="564">
        <f t="shared" si="12"/>
        <v>0</v>
      </c>
    </row>
    <row r="130" spans="1:10" x14ac:dyDescent="0.15">
      <c r="A130" s="379" t="e">
        <f>HLOOKUP(316,'Fund 20 Grants'!$D$2:$W$3,2,FALSE)</f>
        <v>#N/A</v>
      </c>
      <c r="B130" s="380"/>
      <c r="C130" s="381" t="e">
        <f>HLOOKUP(316,'Fund 20 Grants'!$D$2:$W$4,3,FALSE)</f>
        <v>#N/A</v>
      </c>
      <c r="D130" s="178"/>
      <c r="E130" s="41">
        <v>0</v>
      </c>
      <c r="F130" s="41">
        <v>0</v>
      </c>
      <c r="G130" s="41">
        <v>0</v>
      </c>
      <c r="H130" s="383">
        <f>IF(ISERROR(HLOOKUP(316,'Fund 20 Grants'!$D$2:$W$113,112,FALSE)),0,(HLOOKUP(316,'Fund 20 Grants'!$D$2:$W$113,112,FALSE)))</f>
        <v>0</v>
      </c>
      <c r="I130" s="41">
        <v>0</v>
      </c>
      <c r="J130" s="564">
        <f t="shared" si="12"/>
        <v>0</v>
      </c>
    </row>
    <row r="131" spans="1:10" x14ac:dyDescent="0.15">
      <c r="A131" s="379" t="e">
        <f>HLOOKUP(317,'Fund 20 Grants'!$D$2:$W$3,2,FALSE)</f>
        <v>#N/A</v>
      </c>
      <c r="B131" s="380"/>
      <c r="C131" s="381" t="e">
        <f>HLOOKUP(317,'Fund 20 Grants'!$D$2:$W$4,3,FALSE)</f>
        <v>#N/A</v>
      </c>
      <c r="D131" s="178"/>
      <c r="E131" s="41">
        <v>0</v>
      </c>
      <c r="F131" s="41">
        <v>0</v>
      </c>
      <c r="G131" s="41">
        <v>0</v>
      </c>
      <c r="H131" s="383">
        <f>IF(ISERROR(HLOOKUP(317,'Fund 20 Grants'!$D$2:$W$113,112,FALSE)),0,(HLOOKUP(317,'Fund 20 Grants'!$D$2:$W$113,112,FALSE)))</f>
        <v>0</v>
      </c>
      <c r="I131" s="41">
        <v>0</v>
      </c>
      <c r="J131" s="564">
        <f t="shared" si="12"/>
        <v>0</v>
      </c>
    </row>
    <row r="132" spans="1:10" x14ac:dyDescent="0.15">
      <c r="A132" s="379" t="e">
        <f>HLOOKUP(318,'Fund 20 Grants'!$D$2:$W$3,2,FALSE)</f>
        <v>#N/A</v>
      </c>
      <c r="B132" s="380"/>
      <c r="C132" s="381" t="e">
        <f>HLOOKUP(318,'Fund 20 Grants'!$D$2:$W$4,3,FALSE)</f>
        <v>#N/A</v>
      </c>
      <c r="D132" s="178"/>
      <c r="E132" s="41">
        <v>0</v>
      </c>
      <c r="F132" s="41">
        <v>0</v>
      </c>
      <c r="G132" s="41">
        <v>0</v>
      </c>
      <c r="H132" s="383">
        <f>IF(ISERROR(HLOOKUP(318,'Fund 20 Grants'!$D$2:$W$113,112,FALSE)),0,(HLOOKUP(318,'Fund 20 Grants'!$D$2:$W$113,112,FALSE)))</f>
        <v>0</v>
      </c>
      <c r="I132" s="41">
        <v>0</v>
      </c>
      <c r="J132" s="564">
        <f t="shared" si="12"/>
        <v>0</v>
      </c>
    </row>
    <row r="133" spans="1:10" x14ac:dyDescent="0.15">
      <c r="A133" s="379" t="e">
        <f>HLOOKUP(319,'Fund 20 Grants'!$D$2:$W$3,2,FALSE)</f>
        <v>#N/A</v>
      </c>
      <c r="B133" s="380"/>
      <c r="C133" s="381" t="e">
        <f>HLOOKUP(319,'Fund 20 Grants'!$D$2:$W$4,3,FALSE)</f>
        <v>#N/A</v>
      </c>
      <c r="D133" s="194"/>
      <c r="E133" s="41">
        <v>0</v>
      </c>
      <c r="F133" s="41">
        <v>0</v>
      </c>
      <c r="G133" s="41">
        <v>0</v>
      </c>
      <c r="H133" s="383">
        <f>IF(ISERROR(HLOOKUP(319,'Fund 20 Grants'!$D$2:$W$113,112,FALSE)),0,(HLOOKUP(319,'Fund 20 Grants'!$D$2:$W$113,112,FALSE)))</f>
        <v>0</v>
      </c>
      <c r="I133" s="41">
        <v>0</v>
      </c>
      <c r="J133" s="564">
        <f t="shared" si="12"/>
        <v>0</v>
      </c>
    </row>
    <row r="134" spans="1:10" x14ac:dyDescent="0.15">
      <c r="A134" s="379" t="e">
        <f>HLOOKUP(320,'Fund 20 Grants'!$D$2:$W$3,2,FALSE)</f>
        <v>#N/A</v>
      </c>
      <c r="B134" s="380"/>
      <c r="C134" s="381" t="e">
        <f>HLOOKUP(320,'Fund 20 Grants'!$D$2:$W$4,3,FALSE)</f>
        <v>#N/A</v>
      </c>
      <c r="D134" s="115"/>
      <c r="E134" s="41">
        <v>0</v>
      </c>
      <c r="F134" s="41">
        <v>0</v>
      </c>
      <c r="G134" s="41">
        <v>0</v>
      </c>
      <c r="H134" s="383">
        <f>IF(ISERROR(HLOOKUP(320,'Fund 20 Grants'!$D$2:$W$113,112,FALSE)),0,(HLOOKUP(320,'Fund 20 Grants'!$D$2:$W$113,112,FALSE)))</f>
        <v>0</v>
      </c>
      <c r="I134" s="41">
        <v>0</v>
      </c>
      <c r="J134" s="564">
        <f t="shared" si="12"/>
        <v>0</v>
      </c>
    </row>
    <row r="135" spans="1:10" ht="11.25" thickBot="1" x14ac:dyDescent="0.2">
      <c r="A135" s="194"/>
      <c r="B135" s="167"/>
      <c r="C135" s="115"/>
      <c r="D135" s="115"/>
      <c r="E135" s="14"/>
      <c r="F135" s="14"/>
      <c r="G135" s="14"/>
      <c r="H135" s="14"/>
      <c r="J135" s="167"/>
    </row>
    <row r="136" spans="1:10" ht="12" thickTop="1" thickBot="1" x14ac:dyDescent="0.2">
      <c r="C136" s="115" t="s">
        <v>1497</v>
      </c>
      <c r="E136" s="169">
        <f t="shared" ref="E136:J136" si="13">SUM(E115:E135)</f>
        <v>0</v>
      </c>
      <c r="F136" s="169">
        <f t="shared" si="13"/>
        <v>0</v>
      </c>
      <c r="G136" s="169">
        <f t="shared" si="13"/>
        <v>0</v>
      </c>
      <c r="H136" s="169">
        <f t="shared" si="13"/>
        <v>0</v>
      </c>
      <c r="I136" s="169">
        <f t="shared" si="13"/>
        <v>0</v>
      </c>
      <c r="J136" s="169">
        <f t="shared" si="13"/>
        <v>0</v>
      </c>
    </row>
    <row r="137" spans="1:10" ht="11.25" thickTop="1" x14ac:dyDescent="0.15">
      <c r="F137" s="159"/>
      <c r="G137" s="159"/>
      <c r="J137" s="167"/>
    </row>
    <row r="138" spans="1:10" x14ac:dyDescent="0.15">
      <c r="B138" s="40" t="s">
        <v>1346</v>
      </c>
      <c r="D138" s="35"/>
      <c r="F138" s="159"/>
      <c r="G138" s="159"/>
      <c r="J138" s="167"/>
    </row>
    <row r="139" spans="1:10" x14ac:dyDescent="0.15">
      <c r="A139" s="35" t="s">
        <v>203</v>
      </c>
      <c r="B139" s="159"/>
      <c r="C139" s="35" t="s">
        <v>1330</v>
      </c>
      <c r="D139" s="202"/>
      <c r="F139" s="159"/>
      <c r="G139" s="159"/>
      <c r="J139" s="167"/>
    </row>
    <row r="140" spans="1:10" x14ac:dyDescent="0.15">
      <c r="A140" s="379">
        <f>HLOOKUP(101,'Fund 20 Grants'!$D$2:$W$3,2,FALSE)</f>
        <v>0</v>
      </c>
      <c r="B140" s="380"/>
      <c r="C140" s="381">
        <f>HLOOKUP(101,'Fund 20 Grants'!$D$2:$W$4,3,FALSE)</f>
        <v>0</v>
      </c>
      <c r="D140" s="202"/>
      <c r="E140" s="41">
        <v>0</v>
      </c>
      <c r="F140" s="41">
        <v>0</v>
      </c>
      <c r="G140" s="41">
        <v>0</v>
      </c>
      <c r="H140" s="383">
        <f>IF(ISERROR(HLOOKUP(101,'Fund 20 Grants'!$D$2:$W$113,112,FALSE)),0,(HLOOKUP(101,'Fund 20 Grants'!$D$2:$W$113,112,FALSE)))</f>
        <v>0</v>
      </c>
      <c r="I140" s="41">
        <v>0</v>
      </c>
      <c r="J140" s="564">
        <f t="shared" ref="J140:J149" si="14">H140+I140</f>
        <v>0</v>
      </c>
    </row>
    <row r="141" spans="1:10" x14ac:dyDescent="0.15">
      <c r="A141" s="379">
        <f>HLOOKUP(102,'Fund 20 Grants'!$D$2:$W$3,2,FALSE)</f>
        <v>0</v>
      </c>
      <c r="B141" s="380"/>
      <c r="C141" s="381">
        <f>HLOOKUP(102,'Fund 20 Grants'!$D$2:$W$4,3,FALSE)</f>
        <v>0</v>
      </c>
      <c r="D141" s="202"/>
      <c r="E141" s="41">
        <v>0</v>
      </c>
      <c r="F141" s="41">
        <v>0</v>
      </c>
      <c r="G141" s="41">
        <v>0</v>
      </c>
      <c r="H141" s="383">
        <f>IF(ISERROR(HLOOKUP(102,'Fund 20 Grants'!$D$2:$W$113,112,FALSE)),0,(HLOOKUP(102,'Fund 20 Grants'!$D$2:$W$113,112,FALSE)))</f>
        <v>0</v>
      </c>
      <c r="I141" s="41">
        <v>0</v>
      </c>
      <c r="J141" s="564">
        <f t="shared" si="14"/>
        <v>0</v>
      </c>
    </row>
    <row r="142" spans="1:10" x14ac:dyDescent="0.15">
      <c r="A142" s="379">
        <f>HLOOKUP(103,'Fund 20 Grants'!$D$2:$W$3,2,FALSE)</f>
        <v>0</v>
      </c>
      <c r="B142" s="380"/>
      <c r="C142" s="381">
        <f>HLOOKUP(103,'Fund 20 Grants'!$D$2:$W$4,3,FALSE)</f>
        <v>0</v>
      </c>
      <c r="D142" s="202"/>
      <c r="E142" s="41">
        <v>0</v>
      </c>
      <c r="F142" s="41">
        <v>0</v>
      </c>
      <c r="G142" s="41">
        <v>0</v>
      </c>
      <c r="H142" s="383">
        <f>IF(ISERROR(HLOOKUP(103,'Fund 20 Grants'!$D$2:$W$113,112,FALSE)),0,(HLOOKUP(103,'Fund 20 Grants'!$D$2:$W$113,112,FALSE)))</f>
        <v>0</v>
      </c>
      <c r="I142" s="41">
        <v>0</v>
      </c>
      <c r="J142" s="564">
        <f t="shared" si="14"/>
        <v>0</v>
      </c>
    </row>
    <row r="143" spans="1:10" x14ac:dyDescent="0.15">
      <c r="A143" s="379">
        <f>HLOOKUP(104,'Fund 20 Grants'!$D$2:$W$3,2,FALSE)</f>
        <v>0</v>
      </c>
      <c r="B143" s="380"/>
      <c r="C143" s="381">
        <f>HLOOKUP(104,'Fund 20 Grants'!$D$2:$W$4,3,FALSE)</f>
        <v>0</v>
      </c>
      <c r="D143" s="202"/>
      <c r="E143" s="41">
        <v>0</v>
      </c>
      <c r="F143" s="41">
        <v>0</v>
      </c>
      <c r="G143" s="41">
        <v>0</v>
      </c>
      <c r="H143" s="383">
        <f>IF(ISERROR(HLOOKUP(104,'Fund 20 Grants'!$D$2:$W$113,112,FALSE)),0,(HLOOKUP(104,'Fund 20 Grants'!$D$2:$W$113,112,FALSE)))</f>
        <v>0</v>
      </c>
      <c r="I143" s="41">
        <v>0</v>
      </c>
      <c r="J143" s="564">
        <f t="shared" si="14"/>
        <v>0</v>
      </c>
    </row>
    <row r="144" spans="1:10" x14ac:dyDescent="0.15">
      <c r="A144" s="379">
        <f>HLOOKUP(105,'Fund 20 Grants'!$D$2:$W$3,2,FALSE)</f>
        <v>0</v>
      </c>
      <c r="B144" s="380"/>
      <c r="C144" s="381">
        <f>HLOOKUP(105,'Fund 20 Grants'!$D$2:$W$4,3,FALSE)</f>
        <v>0</v>
      </c>
      <c r="D144" s="202"/>
      <c r="E144" s="41">
        <v>0</v>
      </c>
      <c r="F144" s="41">
        <v>0</v>
      </c>
      <c r="G144" s="41">
        <v>0</v>
      </c>
      <c r="H144" s="383">
        <f>IF(ISERROR(HLOOKUP(105,'Fund 20 Grants'!$D$2:$W$113,112,FALSE)),0,(HLOOKUP(105,'Fund 20 Grants'!$D$2:$W$113,112,FALSE)))</f>
        <v>0</v>
      </c>
      <c r="I144" s="41">
        <v>0</v>
      </c>
      <c r="J144" s="564">
        <f t="shared" si="14"/>
        <v>0</v>
      </c>
    </row>
    <row r="145" spans="1:10" x14ac:dyDescent="0.15">
      <c r="A145" s="379">
        <f>HLOOKUP(106,'Fund 20 Grants'!$D$2:$W$3,2,FALSE)</f>
        <v>0</v>
      </c>
      <c r="B145" s="380"/>
      <c r="C145" s="381">
        <f>HLOOKUP(106,'Fund 20 Grants'!$D$2:$W$4,3,FALSE)</f>
        <v>0</v>
      </c>
      <c r="D145" s="202"/>
      <c r="E145" s="41">
        <v>0</v>
      </c>
      <c r="F145" s="41">
        <v>0</v>
      </c>
      <c r="G145" s="41">
        <v>0</v>
      </c>
      <c r="H145" s="383">
        <f>IF(ISERROR(HLOOKUP(106,'Fund 20 Grants'!$D$2:$W$113,112,FALSE)),0,(HLOOKUP(106,'Fund 20 Grants'!$D$2:$W$113,112,FALSE)))</f>
        <v>0</v>
      </c>
      <c r="I145" s="41">
        <v>0</v>
      </c>
      <c r="J145" s="564">
        <f t="shared" si="14"/>
        <v>0</v>
      </c>
    </row>
    <row r="146" spans="1:10" x14ac:dyDescent="0.15">
      <c r="A146" s="379">
        <f>HLOOKUP(107,'Fund 20 Grants'!$D$2:$W$3,2,FALSE)</f>
        <v>0</v>
      </c>
      <c r="B146" s="380"/>
      <c r="C146" s="381">
        <f>HLOOKUP(107,'Fund 20 Grants'!$D$2:$W$4,3,FALSE)</f>
        <v>0</v>
      </c>
      <c r="D146" s="202"/>
      <c r="E146" s="41">
        <v>0</v>
      </c>
      <c r="F146" s="41">
        <v>0</v>
      </c>
      <c r="G146" s="41">
        <v>0</v>
      </c>
      <c r="H146" s="383">
        <f>IF(ISERROR(HLOOKUP(107,'Fund 20 Grants'!$D$2:$W$113,112,FALSE)),0,(HLOOKUP(107,'Fund 20 Grants'!$D$2:$W$113,112,FALSE)))</f>
        <v>0</v>
      </c>
      <c r="I146" s="41">
        <v>0</v>
      </c>
      <c r="J146" s="564">
        <f t="shared" si="14"/>
        <v>0</v>
      </c>
    </row>
    <row r="147" spans="1:10" x14ac:dyDescent="0.15">
      <c r="A147" s="379">
        <f>HLOOKUP(108,'Fund 20 Grants'!$D$2:$W$3,2,FALSE)</f>
        <v>0</v>
      </c>
      <c r="B147" s="380"/>
      <c r="C147" s="381">
        <f>HLOOKUP(108,'Fund 20 Grants'!$D$2:$W$4,3,FALSE)</f>
        <v>0</v>
      </c>
      <c r="D147" s="202"/>
      <c r="E147" s="41">
        <v>0</v>
      </c>
      <c r="F147" s="41">
        <v>0</v>
      </c>
      <c r="G147" s="41">
        <v>0</v>
      </c>
      <c r="H147" s="383">
        <f>IF(ISERROR(HLOOKUP(108,'Fund 20 Grants'!$D$2:$W$113,112,FALSE)),0,(HLOOKUP(108,'Fund 20 Grants'!$D$2:$W$113,112,FALSE)))</f>
        <v>0</v>
      </c>
      <c r="I147" s="41">
        <v>0</v>
      </c>
      <c r="J147" s="564">
        <f t="shared" si="14"/>
        <v>0</v>
      </c>
    </row>
    <row r="148" spans="1:10" x14ac:dyDescent="0.15">
      <c r="A148" s="379">
        <f>HLOOKUP(109,'Fund 20 Grants'!$D$2:$W$3,2,FALSE)</f>
        <v>0</v>
      </c>
      <c r="B148" s="380"/>
      <c r="C148" s="381">
        <f>HLOOKUP(109,'Fund 20 Grants'!$D$2:$W$4,3,FALSE)</f>
        <v>0</v>
      </c>
      <c r="D148" s="202"/>
      <c r="E148" s="41">
        <v>0</v>
      </c>
      <c r="F148" s="41">
        <v>0</v>
      </c>
      <c r="G148" s="41">
        <v>0</v>
      </c>
      <c r="H148" s="383">
        <f>IF(ISERROR(HLOOKUP(109,'Fund 20 Grants'!$D$2:$W$113,112,FALSE)),0,(HLOOKUP(109,'Fund 20 Grants'!$D$2:$W$113,112,FALSE)))</f>
        <v>0</v>
      </c>
      <c r="I148" s="41">
        <v>0</v>
      </c>
      <c r="J148" s="564">
        <f t="shared" si="14"/>
        <v>0</v>
      </c>
    </row>
    <row r="149" spans="1:10" x14ac:dyDescent="0.15">
      <c r="A149" s="379">
        <f>HLOOKUP(110,'Fund 20 Grants'!$D$2:$W$3,2,FALSE)</f>
        <v>0</v>
      </c>
      <c r="B149" s="380"/>
      <c r="C149" s="381">
        <f>HLOOKUP(110,'Fund 20 Grants'!$D$2:$W$4,3,FALSE)</f>
        <v>0</v>
      </c>
      <c r="D149" s="40"/>
      <c r="E149" s="41">
        <v>0</v>
      </c>
      <c r="F149" s="41">
        <v>0</v>
      </c>
      <c r="G149" s="41">
        <v>0</v>
      </c>
      <c r="H149" s="383">
        <f>IF(ISERROR(HLOOKUP(110,'Fund 20 Grants'!$D$2:$W$113,112,FALSE)),0,(HLOOKUP(110,'Fund 20 Grants'!$D$2:$W$113,112,FALSE)))</f>
        <v>0</v>
      </c>
      <c r="I149" s="41">
        <v>0</v>
      </c>
      <c r="J149" s="564">
        <f t="shared" si="14"/>
        <v>0</v>
      </c>
    </row>
    <row r="150" spans="1:10" ht="11.25" thickBot="1" x14ac:dyDescent="0.2">
      <c r="C150" s="40"/>
      <c r="D150" s="115"/>
      <c r="F150" s="159"/>
      <c r="G150" s="159"/>
      <c r="J150" s="167"/>
    </row>
    <row r="151" spans="1:10" ht="12" thickTop="1" thickBot="1" x14ac:dyDescent="0.2">
      <c r="A151" s="115" t="s">
        <v>1527</v>
      </c>
      <c r="C151" s="115" t="s">
        <v>1224</v>
      </c>
      <c r="E151" s="151">
        <f t="shared" ref="E151:J151" si="15">SUM(E140:E150)</f>
        <v>0</v>
      </c>
      <c r="F151" s="151">
        <f t="shared" si="15"/>
        <v>0</v>
      </c>
      <c r="G151" s="151">
        <f t="shared" si="15"/>
        <v>0</v>
      </c>
      <c r="H151" s="151">
        <f t="shared" si="15"/>
        <v>0</v>
      </c>
      <c r="I151" s="151">
        <f t="shared" si="15"/>
        <v>0</v>
      </c>
      <c r="J151" s="169">
        <f t="shared" si="15"/>
        <v>0</v>
      </c>
    </row>
    <row r="152" spans="1:10" ht="12" thickTop="1" thickBot="1" x14ac:dyDescent="0.2">
      <c r="D152" s="115"/>
      <c r="F152" s="159"/>
      <c r="G152" s="159"/>
      <c r="J152" s="167"/>
    </row>
    <row r="153" spans="1:10" ht="12" thickTop="1" thickBot="1" x14ac:dyDescent="0.2">
      <c r="C153" s="115" t="s">
        <v>841</v>
      </c>
      <c r="D153" s="115"/>
      <c r="E153" s="193">
        <f t="shared" ref="E153:J153" si="16">E110+E136+E151</f>
        <v>0</v>
      </c>
      <c r="F153" s="193">
        <f t="shared" si="16"/>
        <v>0</v>
      </c>
      <c r="G153" s="193">
        <f t="shared" si="16"/>
        <v>0</v>
      </c>
      <c r="H153" s="193">
        <f t="shared" si="16"/>
        <v>0</v>
      </c>
      <c r="I153" s="193">
        <f t="shared" si="16"/>
        <v>0</v>
      </c>
      <c r="J153" s="600">
        <f t="shared" si="16"/>
        <v>0</v>
      </c>
    </row>
    <row r="154" spans="1:10" ht="11.25" thickTop="1" x14ac:dyDescent="0.15">
      <c r="C154" s="115"/>
      <c r="D154" s="115"/>
      <c r="F154" s="159"/>
      <c r="G154" s="159"/>
      <c r="J154" s="167"/>
    </row>
    <row r="155" spans="1:10" x14ac:dyDescent="0.15">
      <c r="B155" s="21" t="s">
        <v>1502</v>
      </c>
      <c r="C155" s="115"/>
      <c r="D155" s="35"/>
      <c r="F155" s="159"/>
      <c r="G155" s="159"/>
      <c r="J155" s="167"/>
    </row>
    <row r="156" spans="1:10" x14ac:dyDescent="0.15">
      <c r="A156" s="35" t="s">
        <v>203</v>
      </c>
      <c r="C156" s="35" t="s">
        <v>1034</v>
      </c>
      <c r="D156" s="203"/>
      <c r="F156" s="159"/>
      <c r="G156" s="159"/>
      <c r="J156" s="167"/>
    </row>
    <row r="157" spans="1:10" x14ac:dyDescent="0.15">
      <c r="A157" s="374"/>
      <c r="C157" s="195"/>
      <c r="D157" s="203"/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564">
        <f t="shared" ref="J157:J165" si="17">H157+I157</f>
        <v>0</v>
      </c>
    </row>
    <row r="158" spans="1:10" x14ac:dyDescent="0.15">
      <c r="A158" s="374"/>
      <c r="C158" s="195"/>
      <c r="D158" s="203"/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564">
        <f t="shared" si="17"/>
        <v>0</v>
      </c>
    </row>
    <row r="159" spans="1:10" x14ac:dyDescent="0.15">
      <c r="A159" s="374"/>
      <c r="C159" s="195"/>
      <c r="D159" s="203"/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564">
        <f t="shared" si="17"/>
        <v>0</v>
      </c>
    </row>
    <row r="160" spans="1:10" x14ac:dyDescent="0.15">
      <c r="A160" s="374"/>
      <c r="C160" s="195"/>
      <c r="D160" s="203"/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564">
        <f t="shared" si="17"/>
        <v>0</v>
      </c>
    </row>
    <row r="161" spans="1:10" x14ac:dyDescent="0.15">
      <c r="A161" s="374"/>
      <c r="C161" s="195"/>
      <c r="D161" s="203"/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564">
        <f t="shared" si="17"/>
        <v>0</v>
      </c>
    </row>
    <row r="162" spans="1:10" ht="12" customHeight="1" x14ac:dyDescent="0.15">
      <c r="A162" s="374"/>
      <c r="C162" s="195"/>
      <c r="D162" s="203"/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564">
        <f t="shared" si="17"/>
        <v>0</v>
      </c>
    </row>
    <row r="163" spans="1:10" x14ac:dyDescent="0.15">
      <c r="A163" s="374"/>
      <c r="C163" s="195"/>
      <c r="D163" s="203"/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564">
        <f t="shared" si="17"/>
        <v>0</v>
      </c>
    </row>
    <row r="164" spans="1:10" x14ac:dyDescent="0.15">
      <c r="A164" s="374"/>
      <c r="C164" s="195"/>
      <c r="D164" s="203"/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564">
        <f t="shared" si="17"/>
        <v>0</v>
      </c>
    </row>
    <row r="165" spans="1:10" x14ac:dyDescent="0.15">
      <c r="A165" s="374"/>
      <c r="C165" s="195"/>
      <c r="D165" s="203"/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564">
        <f t="shared" si="17"/>
        <v>0</v>
      </c>
    </row>
    <row r="166" spans="1:10" x14ac:dyDescent="0.15">
      <c r="A166" s="668"/>
      <c r="B166" s="669"/>
      <c r="C166" s="665" t="s">
        <v>862</v>
      </c>
      <c r="D166" s="667"/>
      <c r="E166" s="529">
        <f t="shared" ref="E166:J166" si="18">+E91</f>
        <v>0</v>
      </c>
      <c r="F166" s="529">
        <f t="shared" si="18"/>
        <v>0</v>
      </c>
      <c r="G166" s="529">
        <f t="shared" si="18"/>
        <v>0</v>
      </c>
      <c r="H166" s="529">
        <f t="shared" si="18"/>
        <v>0</v>
      </c>
      <c r="I166" s="529">
        <f t="shared" si="18"/>
        <v>0</v>
      </c>
      <c r="J166" s="529">
        <f t="shared" si="18"/>
        <v>0</v>
      </c>
    </row>
    <row r="167" spans="1:10" ht="11.25" thickBot="1" x14ac:dyDescent="0.2">
      <c r="C167" s="115"/>
      <c r="D167" s="115"/>
      <c r="F167" s="159"/>
      <c r="G167" s="159"/>
      <c r="J167" s="167"/>
    </row>
    <row r="168" spans="1:10" ht="12" thickTop="1" thickBot="1" x14ac:dyDescent="0.2">
      <c r="C168" s="115" t="s">
        <v>1275</v>
      </c>
      <c r="D168" s="115"/>
      <c r="E168" s="193">
        <f t="shared" ref="E168:J168" si="19">SUM(E157:E167)</f>
        <v>0</v>
      </c>
      <c r="F168" s="193">
        <f t="shared" si="19"/>
        <v>0</v>
      </c>
      <c r="G168" s="193">
        <f t="shared" si="19"/>
        <v>0</v>
      </c>
      <c r="H168" s="193">
        <f t="shared" si="19"/>
        <v>0</v>
      </c>
      <c r="I168" s="193">
        <f t="shared" si="19"/>
        <v>0</v>
      </c>
      <c r="J168" s="600">
        <f t="shared" si="19"/>
        <v>0</v>
      </c>
    </row>
    <row r="169" spans="1:10" ht="12" thickTop="1" thickBot="1" x14ac:dyDescent="0.2">
      <c r="C169" s="115"/>
      <c r="D169" s="196"/>
      <c r="F169" s="159"/>
      <c r="G169" s="159"/>
      <c r="J169" s="167"/>
    </row>
    <row r="170" spans="1:10" ht="23.25" customHeight="1" thickTop="1" thickBot="1" x14ac:dyDescent="0.2">
      <c r="A170" s="777" t="s">
        <v>1499</v>
      </c>
      <c r="B170" s="777"/>
      <c r="C170" s="777"/>
      <c r="E170" s="169">
        <f t="shared" ref="E170:J170" si="20">+E153+E168</f>
        <v>0</v>
      </c>
      <c r="F170" s="169">
        <f t="shared" si="20"/>
        <v>0</v>
      </c>
      <c r="G170" s="169">
        <f t="shared" si="20"/>
        <v>0</v>
      </c>
      <c r="H170" s="169">
        <f t="shared" si="20"/>
        <v>0</v>
      </c>
      <c r="I170" s="169">
        <f t="shared" si="20"/>
        <v>0</v>
      </c>
      <c r="J170" s="169">
        <f t="shared" si="20"/>
        <v>0</v>
      </c>
    </row>
    <row r="171" spans="1:10" ht="11.25" thickTop="1" x14ac:dyDescent="0.15">
      <c r="F171" s="159"/>
      <c r="G171" s="159"/>
      <c r="J171" s="167"/>
    </row>
    <row r="172" spans="1:10" x14ac:dyDescent="0.15">
      <c r="F172" s="159"/>
      <c r="G172" s="159"/>
      <c r="J172" s="167"/>
    </row>
    <row r="173" spans="1:10" s="176" customFormat="1" ht="23.25" customHeight="1" x14ac:dyDescent="0.15">
      <c r="A173" s="155" t="s">
        <v>110</v>
      </c>
      <c r="B173" s="158"/>
      <c r="C173" s="210" t="s">
        <v>737</v>
      </c>
      <c r="D173" s="115"/>
      <c r="E173" s="159"/>
      <c r="F173" s="159"/>
      <c r="G173" s="159"/>
      <c r="H173" s="159"/>
      <c r="I173" s="158"/>
      <c r="J173" s="167"/>
    </row>
    <row r="174" spans="1:10" x14ac:dyDescent="0.15">
      <c r="A174" s="154" t="s">
        <v>1522</v>
      </c>
      <c r="C174" s="115" t="s">
        <v>1516</v>
      </c>
      <c r="D174" s="115"/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564">
        <f>H174+I174</f>
        <v>0</v>
      </c>
    </row>
    <row r="175" spans="1:10" x14ac:dyDescent="0.15">
      <c r="A175" s="154" t="s">
        <v>1523</v>
      </c>
      <c r="C175" s="115" t="s">
        <v>1517</v>
      </c>
      <c r="D175" s="115"/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564">
        <f>H175+I175</f>
        <v>0</v>
      </c>
    </row>
    <row r="176" spans="1:10" x14ac:dyDescent="0.15">
      <c r="A176" s="154" t="s">
        <v>1524</v>
      </c>
      <c r="C176" s="115" t="s">
        <v>1518</v>
      </c>
      <c r="D176" s="115"/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564">
        <f>H176+I176</f>
        <v>0</v>
      </c>
    </row>
    <row r="177" spans="1:10" x14ac:dyDescent="0.15">
      <c r="A177" s="154" t="s">
        <v>1525</v>
      </c>
      <c r="C177" s="115" t="s">
        <v>1519</v>
      </c>
      <c r="D177" s="115"/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564">
        <f>H177+I177</f>
        <v>0</v>
      </c>
    </row>
    <row r="178" spans="1:10" ht="11.25" thickBot="1" x14ac:dyDescent="0.2">
      <c r="A178" s="154" t="s">
        <v>1526</v>
      </c>
      <c r="C178" s="115" t="s">
        <v>1520</v>
      </c>
      <c r="D178" s="115"/>
      <c r="E178" s="150">
        <v>0</v>
      </c>
      <c r="F178" s="150">
        <v>0</v>
      </c>
      <c r="G178" s="150">
        <v>0</v>
      </c>
      <c r="H178" s="150">
        <v>0</v>
      </c>
      <c r="I178" s="41">
        <v>0</v>
      </c>
      <c r="J178" s="564">
        <f>H178+I178</f>
        <v>0</v>
      </c>
    </row>
    <row r="179" spans="1:10" ht="12" thickTop="1" thickBot="1" x14ac:dyDescent="0.2">
      <c r="A179" s="149"/>
      <c r="C179" s="115" t="s">
        <v>724</v>
      </c>
      <c r="D179" s="115"/>
      <c r="E179" s="151">
        <f t="shared" ref="E179:J179" si="21">SUM(E174:E178)</f>
        <v>0</v>
      </c>
      <c r="F179" s="151">
        <f t="shared" si="21"/>
        <v>0</v>
      </c>
      <c r="G179" s="151">
        <f t="shared" si="21"/>
        <v>0</v>
      </c>
      <c r="H179" s="151">
        <f t="shared" si="21"/>
        <v>0</v>
      </c>
      <c r="I179" s="151">
        <f t="shared" si="21"/>
        <v>0</v>
      </c>
      <c r="J179" s="151">
        <f t="shared" si="21"/>
        <v>0</v>
      </c>
    </row>
    <row r="180" spans="1:10" ht="12" thickTop="1" thickBot="1" x14ac:dyDescent="0.2">
      <c r="A180" s="149"/>
      <c r="C180" s="115"/>
      <c r="D180" s="176"/>
      <c r="E180" s="159"/>
      <c r="F180" s="159"/>
      <c r="G180" s="159"/>
      <c r="H180" s="159"/>
      <c r="J180" s="167"/>
    </row>
    <row r="181" spans="1:10" ht="11.25" thickBot="1" x14ac:dyDescent="0.2">
      <c r="A181" s="776" t="s">
        <v>794</v>
      </c>
      <c r="B181" s="776"/>
      <c r="C181" s="776"/>
      <c r="D181" s="115"/>
      <c r="E181" s="171">
        <f t="shared" ref="E181:J181" si="22">E170+E179</f>
        <v>0</v>
      </c>
      <c r="F181" s="171">
        <f t="shared" si="22"/>
        <v>0</v>
      </c>
      <c r="G181" s="171">
        <f t="shared" si="22"/>
        <v>0</v>
      </c>
      <c r="H181" s="171">
        <f t="shared" si="22"/>
        <v>0</v>
      </c>
      <c r="I181" s="171">
        <f t="shared" si="22"/>
        <v>0</v>
      </c>
      <c r="J181" s="171">
        <f t="shared" si="22"/>
        <v>0</v>
      </c>
    </row>
    <row r="182" spans="1:10" x14ac:dyDescent="0.15">
      <c r="A182" s="149"/>
      <c r="C182" s="115" t="s">
        <v>725</v>
      </c>
      <c r="D182" s="115"/>
      <c r="E182" s="159"/>
      <c r="F182" s="159"/>
      <c r="G182" s="159"/>
      <c r="H182" s="159"/>
      <c r="J182" s="167"/>
    </row>
    <row r="183" spans="1:10" ht="11.25" thickBot="1" x14ac:dyDescent="0.2">
      <c r="A183" s="149"/>
      <c r="C183" s="115"/>
      <c r="D183" s="172"/>
      <c r="E183" s="159"/>
      <c r="F183" s="159"/>
      <c r="G183" s="159"/>
      <c r="H183" s="159"/>
      <c r="J183" s="167"/>
    </row>
    <row r="184" spans="1:10" ht="12" thickTop="1" thickBot="1" x14ac:dyDescent="0.2">
      <c r="C184" s="172" t="s">
        <v>726</v>
      </c>
      <c r="E184" s="173">
        <f t="shared" ref="E184:J184" si="23">E88</f>
        <v>0</v>
      </c>
      <c r="F184" s="173">
        <f t="shared" si="23"/>
        <v>0</v>
      </c>
      <c r="G184" s="173">
        <f t="shared" si="23"/>
        <v>0</v>
      </c>
      <c r="H184" s="173">
        <f t="shared" si="23"/>
        <v>0</v>
      </c>
      <c r="I184" s="173">
        <f t="shared" si="23"/>
        <v>0</v>
      </c>
      <c r="J184" s="173">
        <f t="shared" si="23"/>
        <v>0</v>
      </c>
    </row>
    <row r="185" spans="1:10" ht="11.25" thickTop="1" x14ac:dyDescent="0.15">
      <c r="D185" s="172"/>
      <c r="E185" s="158"/>
      <c r="J185" s="167"/>
    </row>
    <row r="186" spans="1:10" x14ac:dyDescent="0.15">
      <c r="C186" s="172" t="s">
        <v>727</v>
      </c>
      <c r="E186" s="158">
        <f t="shared" ref="E186:J186" si="24">E181-E184</f>
        <v>0</v>
      </c>
      <c r="F186" s="158">
        <f t="shared" si="24"/>
        <v>0</v>
      </c>
      <c r="G186" s="158">
        <f t="shared" si="24"/>
        <v>0</v>
      </c>
      <c r="H186" s="158">
        <f t="shared" si="24"/>
        <v>0</v>
      </c>
      <c r="I186" s="158">
        <f t="shared" si="24"/>
        <v>0</v>
      </c>
      <c r="J186" s="167">
        <f t="shared" si="24"/>
        <v>0</v>
      </c>
    </row>
    <row r="187" spans="1:10" x14ac:dyDescent="0.15">
      <c r="J187" s="167"/>
    </row>
    <row r="188" spans="1:10" x14ac:dyDescent="0.15">
      <c r="J188" s="167"/>
    </row>
    <row r="189" spans="1:10" x14ac:dyDescent="0.15">
      <c r="A189" s="115" t="s">
        <v>417</v>
      </c>
    </row>
    <row r="192" spans="1:10" x14ac:dyDescent="0.15">
      <c r="A192" s="18" t="s">
        <v>164</v>
      </c>
      <c r="D192" s="115"/>
    </row>
    <row r="193" spans="2:3" x14ac:dyDescent="0.15">
      <c r="B193" s="183" t="s">
        <v>389</v>
      </c>
      <c r="C193" s="115" t="s">
        <v>679</v>
      </c>
    </row>
    <row r="194" spans="2:3" x14ac:dyDescent="0.15">
      <c r="B194" s="184" t="s">
        <v>682</v>
      </c>
      <c r="C194" s="115" t="s">
        <v>680</v>
      </c>
    </row>
    <row r="195" spans="2:3" x14ac:dyDescent="0.15">
      <c r="B195" s="184" t="s">
        <v>683</v>
      </c>
      <c r="C195" s="115" t="s">
        <v>681</v>
      </c>
    </row>
    <row r="196" spans="2:3" x14ac:dyDescent="0.15">
      <c r="B196" s="183" t="s">
        <v>590</v>
      </c>
      <c r="C196" s="115" t="s">
        <v>591</v>
      </c>
    </row>
    <row r="197" spans="2:3" x14ac:dyDescent="0.15">
      <c r="B197" s="183" t="s">
        <v>592</v>
      </c>
      <c r="C197" s="115" t="s">
        <v>593</v>
      </c>
    </row>
    <row r="198" spans="2:3" x14ac:dyDescent="0.15">
      <c r="B198" s="183" t="s">
        <v>594</v>
      </c>
      <c r="C198" s="115" t="s">
        <v>595</v>
      </c>
    </row>
  </sheetData>
  <sheetProtection password="CB03" sheet="1" objects="1" scenarios="1" formatCells="0" formatColumns="0" formatRows="0"/>
  <mergeCells count="3">
    <mergeCell ref="A181:C181"/>
    <mergeCell ref="A88:C88"/>
    <mergeCell ref="A170:C170"/>
  </mergeCells>
  <phoneticPr fontId="15" type="noConversion"/>
  <pageMargins left="0.5" right="0.5" top="0.75" bottom="0.75" header="0.5" footer="0.5"/>
  <pageSetup scale="61" firstPageNumber="31" fitToHeight="0" orientation="portrait" horizontalDpi="300" verticalDpi="300" r:id="rId1"/>
  <headerFooter alignWithMargins="0">
    <oddFooter>&amp;LCDE, Public Scool Finance Unit&amp;C&amp;P&amp;RRevised March, 2009</oddFooter>
  </headerFooter>
  <rowBreaks count="2" manualBreakCount="2">
    <brk id="92" max="16383" man="1"/>
    <brk id="18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opLeftCell="A55" zoomScaleNormal="100" workbookViewId="0">
      <selection activeCell="Q112" sqref="Q112"/>
    </sheetView>
  </sheetViews>
  <sheetFormatPr defaultRowHeight="10.5" x14ac:dyDescent="0.15"/>
  <cols>
    <col min="1" max="1" width="10" style="158" customWidth="1"/>
    <col min="2" max="2" width="3.6640625" style="158" customWidth="1"/>
    <col min="3" max="3" width="70.83203125" style="158" customWidth="1"/>
    <col min="4" max="4" width="15.83203125" style="158" customWidth="1"/>
    <col min="5" max="5" width="18" style="158" customWidth="1"/>
    <col min="6" max="6" width="17.33203125" style="158" customWidth="1"/>
    <col min="7" max="7" width="16.6640625" style="158" customWidth="1"/>
    <col min="8" max="8" width="14.83203125" style="158" customWidth="1"/>
    <col min="9" max="9" width="18.83203125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63" t="s">
        <v>1586</v>
      </c>
      <c r="E1" s="164">
        <f>+'Page 1 - FY2014-15'!F7</f>
        <v>0</v>
      </c>
      <c r="G1" s="38" t="s">
        <v>1588</v>
      </c>
    </row>
    <row r="2" spans="1:9" x14ac:dyDescent="0.15">
      <c r="A2" s="15" t="s">
        <v>194</v>
      </c>
    </row>
    <row r="3" spans="1:9" ht="42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G6+H6</f>
        <v>0</v>
      </c>
    </row>
    <row r="7" spans="1:9" x14ac:dyDescent="0.15">
      <c r="A7" s="36" t="s">
        <v>1592</v>
      </c>
      <c r="C7" s="210" t="s">
        <v>196</v>
      </c>
      <c r="E7" s="159"/>
      <c r="F7" s="159"/>
      <c r="G7" s="159"/>
      <c r="I7" s="167"/>
    </row>
    <row r="8" spans="1:9" x14ac:dyDescent="0.15">
      <c r="A8" s="115" t="s">
        <v>1595</v>
      </c>
      <c r="B8" s="160" t="s">
        <v>1159</v>
      </c>
      <c r="C8" s="115" t="s">
        <v>206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G8+H8</f>
        <v>0</v>
      </c>
    </row>
    <row r="9" spans="1:9" x14ac:dyDescent="0.15">
      <c r="A9" s="115" t="s">
        <v>1596</v>
      </c>
      <c r="B9" s="160" t="s">
        <v>1160</v>
      </c>
      <c r="C9" s="115" t="s">
        <v>257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23" si="0">G9+H9</f>
        <v>0</v>
      </c>
    </row>
    <row r="10" spans="1:9" x14ac:dyDescent="0.15">
      <c r="A10" s="152" t="s">
        <v>205</v>
      </c>
      <c r="B10" s="160" t="s">
        <v>1161</v>
      </c>
      <c r="C10" s="115" t="s">
        <v>207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1602</v>
      </c>
      <c r="B11" s="160" t="s">
        <v>1228</v>
      </c>
      <c r="C11" s="115" t="s">
        <v>443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15" t="s">
        <v>1157</v>
      </c>
      <c r="B12" s="160" t="s">
        <v>1229</v>
      </c>
      <c r="C12" s="115" t="s">
        <v>208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52" t="s">
        <v>95</v>
      </c>
      <c r="B13" s="160" t="s">
        <v>1230</v>
      </c>
      <c r="C13" s="115" t="s">
        <v>1149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15" t="s">
        <v>97</v>
      </c>
      <c r="B14" s="160" t="s">
        <v>1231</v>
      </c>
      <c r="C14" s="115" t="s">
        <v>452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52" t="s">
        <v>759</v>
      </c>
      <c r="B15" s="160" t="s">
        <v>1232</v>
      </c>
      <c r="C15" s="115" t="s">
        <v>453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152" t="s">
        <v>760</v>
      </c>
      <c r="B16" s="160" t="s">
        <v>1240</v>
      </c>
      <c r="C16" s="115" t="s">
        <v>209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x14ac:dyDescent="0.15">
      <c r="A17" s="152" t="s">
        <v>210</v>
      </c>
      <c r="B17" s="160" t="s">
        <v>1244</v>
      </c>
      <c r="C17" s="115" t="s">
        <v>211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9" x14ac:dyDescent="0.15">
      <c r="A18" s="152" t="s">
        <v>440</v>
      </c>
      <c r="B18" s="160" t="s">
        <v>1245</v>
      </c>
      <c r="C18" s="115" t="s">
        <v>1151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564">
        <f t="shared" si="0"/>
        <v>0</v>
      </c>
    </row>
    <row r="19" spans="1:9" x14ac:dyDescent="0.15">
      <c r="A19" s="162" t="s">
        <v>105</v>
      </c>
      <c r="B19" s="174" t="s">
        <v>1241</v>
      </c>
      <c r="C19" s="2" t="s">
        <v>860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564">
        <f t="shared" si="0"/>
        <v>0</v>
      </c>
    </row>
    <row r="20" spans="1:9" x14ac:dyDescent="0.15">
      <c r="A20" s="168" t="s">
        <v>537</v>
      </c>
      <c r="B20" s="174" t="s">
        <v>1242</v>
      </c>
      <c r="C20" s="138" t="s">
        <v>538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564">
        <f t="shared" si="0"/>
        <v>0</v>
      </c>
    </row>
    <row r="21" spans="1:9" x14ac:dyDescent="0.15">
      <c r="A21" s="168" t="s">
        <v>536</v>
      </c>
      <c r="B21" s="174" t="s">
        <v>1247</v>
      </c>
      <c r="C21" s="138" t="s">
        <v>115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564">
        <f t="shared" si="0"/>
        <v>0</v>
      </c>
    </row>
    <row r="22" spans="1:9" x14ac:dyDescent="0.15">
      <c r="A22" s="115" t="s">
        <v>197</v>
      </c>
      <c r="B22" s="174" t="s">
        <v>1248</v>
      </c>
      <c r="C22" s="718" t="s">
        <v>893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564">
        <f t="shared" si="0"/>
        <v>0</v>
      </c>
    </row>
    <row r="23" spans="1:9" x14ac:dyDescent="0.15">
      <c r="B23" s="174" t="s">
        <v>1249</v>
      </c>
      <c r="C23" s="115" t="s">
        <v>212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564">
        <f t="shared" si="0"/>
        <v>0</v>
      </c>
    </row>
    <row r="24" spans="1:9" ht="11.25" thickBot="1" x14ac:dyDescent="0.2">
      <c r="C24" s="115"/>
      <c r="D24" s="14"/>
      <c r="E24" s="14"/>
      <c r="F24" s="14"/>
      <c r="G24" s="14"/>
      <c r="I24" s="167"/>
    </row>
    <row r="25" spans="1:9" ht="12" thickTop="1" thickBot="1" x14ac:dyDescent="0.2">
      <c r="B25" s="174" t="s">
        <v>1250</v>
      </c>
      <c r="C25" s="35" t="s">
        <v>1135</v>
      </c>
      <c r="D25" s="169">
        <f t="shared" ref="D25:I25" si="1">SUM(D8:D23)</f>
        <v>0</v>
      </c>
      <c r="E25" s="169">
        <f t="shared" si="1"/>
        <v>0</v>
      </c>
      <c r="F25" s="169">
        <f t="shared" si="1"/>
        <v>0</v>
      </c>
      <c r="G25" s="169">
        <f t="shared" si="1"/>
        <v>0</v>
      </c>
      <c r="H25" s="169">
        <f t="shared" si="1"/>
        <v>0</v>
      </c>
      <c r="I25" s="169">
        <f t="shared" si="1"/>
        <v>0</v>
      </c>
    </row>
    <row r="26" spans="1:9" ht="12" thickTop="1" thickBot="1" x14ac:dyDescent="0.2">
      <c r="C26" s="152"/>
      <c r="D26" s="170"/>
      <c r="E26" s="170"/>
      <c r="F26" s="170"/>
      <c r="G26" s="170"/>
      <c r="I26" s="167"/>
    </row>
    <row r="27" spans="1:9" ht="10.5" customHeight="1" thickBot="1" x14ac:dyDescent="0.2">
      <c r="A27" s="35" t="s">
        <v>1616</v>
      </c>
      <c r="D27" s="171">
        <f t="shared" ref="D27:I27" si="2">D6+D25</f>
        <v>0</v>
      </c>
      <c r="E27" s="171">
        <f t="shared" si="2"/>
        <v>0</v>
      </c>
      <c r="F27" s="171">
        <f t="shared" si="2"/>
        <v>0</v>
      </c>
      <c r="G27" s="171">
        <f t="shared" si="2"/>
        <v>0</v>
      </c>
      <c r="H27" s="171">
        <f t="shared" si="2"/>
        <v>0</v>
      </c>
      <c r="I27" s="171">
        <f t="shared" si="2"/>
        <v>0</v>
      </c>
    </row>
    <row r="28" spans="1:9" x14ac:dyDescent="0.15">
      <c r="E28" s="159"/>
      <c r="F28" s="159"/>
      <c r="G28" s="159"/>
      <c r="I28" s="167"/>
    </row>
    <row r="29" spans="1:9" x14ac:dyDescent="0.15">
      <c r="A29" s="660" t="s">
        <v>824</v>
      </c>
      <c r="B29" s="424"/>
      <c r="C29" s="495" t="s">
        <v>816</v>
      </c>
      <c r="D29" s="423"/>
      <c r="E29" s="423"/>
      <c r="F29" s="423"/>
      <c r="G29" s="423"/>
      <c r="H29" s="423"/>
      <c r="I29" s="179"/>
    </row>
    <row r="30" spans="1:9" x14ac:dyDescent="0.15">
      <c r="A30" s="436" t="s">
        <v>105</v>
      </c>
      <c r="B30" s="501" t="s">
        <v>1338</v>
      </c>
      <c r="C30" s="2" t="s">
        <v>827</v>
      </c>
      <c r="D30" s="41">
        <v>0</v>
      </c>
      <c r="E30" s="41">
        <v>0</v>
      </c>
      <c r="F30" s="41">
        <v>0</v>
      </c>
      <c r="G30" s="41">
        <v>0</v>
      </c>
      <c r="H30" s="534">
        <v>0</v>
      </c>
      <c r="I30" s="535">
        <f>SUM(G30+H30)</f>
        <v>0</v>
      </c>
    </row>
    <row r="31" spans="1:9" x14ac:dyDescent="0.15">
      <c r="A31" s="436"/>
      <c r="B31" s="501"/>
      <c r="C31" s="2"/>
      <c r="D31" s="14"/>
      <c r="E31" s="14"/>
      <c r="F31" s="14"/>
      <c r="G31" s="14"/>
      <c r="H31" s="308"/>
      <c r="I31" s="305"/>
    </row>
    <row r="32" spans="1:9" x14ac:dyDescent="0.15">
      <c r="A32" s="490"/>
      <c r="B32" s="424"/>
      <c r="C32" s="423"/>
      <c r="D32" s="423"/>
      <c r="E32" s="423"/>
      <c r="F32" s="423"/>
      <c r="G32" s="423"/>
      <c r="H32" s="423"/>
      <c r="I32" s="423"/>
    </row>
    <row r="33" spans="1:9" x14ac:dyDescent="0.15">
      <c r="A33" s="36" t="s">
        <v>198</v>
      </c>
      <c r="C33" s="210" t="s">
        <v>199</v>
      </c>
      <c r="E33" s="159"/>
      <c r="F33" s="159"/>
      <c r="G33" s="159"/>
      <c r="I33" s="167"/>
    </row>
    <row r="34" spans="1:9" x14ac:dyDescent="0.15">
      <c r="A34" s="36"/>
      <c r="B34" s="40"/>
      <c r="C34" s="158" t="s">
        <v>1190</v>
      </c>
      <c r="E34" s="159"/>
      <c r="F34" s="159"/>
      <c r="G34" s="159"/>
      <c r="I34" s="167"/>
    </row>
    <row r="35" spans="1:9" x14ac:dyDescent="0.15">
      <c r="A35" s="152" t="s">
        <v>1583</v>
      </c>
      <c r="B35" s="152" t="s">
        <v>1251</v>
      </c>
      <c r="C35" s="158" t="s">
        <v>160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>G35+H35</f>
        <v>0</v>
      </c>
    </row>
    <row r="36" spans="1:9" x14ac:dyDescent="0.15">
      <c r="A36" s="115" t="s">
        <v>200</v>
      </c>
      <c r="B36" s="160" t="s">
        <v>1252</v>
      </c>
      <c r="C36" s="115" t="s">
        <v>161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ref="I36:I44" si="3">G36+H36</f>
        <v>0</v>
      </c>
    </row>
    <row r="37" spans="1:9" x14ac:dyDescent="0.15">
      <c r="A37" s="152" t="s">
        <v>201</v>
      </c>
      <c r="B37" s="160" t="s">
        <v>1253</v>
      </c>
      <c r="C37" s="115" t="s">
        <v>162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3"/>
        <v>0</v>
      </c>
    </row>
    <row r="38" spans="1:9" x14ac:dyDescent="0.15">
      <c r="A38" s="152" t="s">
        <v>158</v>
      </c>
      <c r="B38" s="160" t="s">
        <v>1254</v>
      </c>
      <c r="C38" s="115" t="s">
        <v>464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3"/>
        <v>0</v>
      </c>
    </row>
    <row r="39" spans="1:9" x14ac:dyDescent="0.15">
      <c r="A39" s="152" t="s">
        <v>159</v>
      </c>
      <c r="B39" s="160" t="s">
        <v>1255</v>
      </c>
      <c r="C39" s="172" t="s">
        <v>465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3"/>
        <v>0</v>
      </c>
    </row>
    <row r="40" spans="1:9" x14ac:dyDescent="0.15">
      <c r="A40" s="152" t="s">
        <v>466</v>
      </c>
      <c r="B40" s="160" t="s">
        <v>467</v>
      </c>
      <c r="C40" s="172" t="s">
        <v>468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 t="shared" si="3"/>
        <v>0</v>
      </c>
    </row>
    <row r="41" spans="1:9" x14ac:dyDescent="0.15">
      <c r="A41" s="152" t="s">
        <v>634</v>
      </c>
      <c r="B41" s="160" t="s">
        <v>469</v>
      </c>
      <c r="C41" s="115" t="s">
        <v>409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3"/>
        <v>0</v>
      </c>
    </row>
    <row r="42" spans="1:9" x14ac:dyDescent="0.15">
      <c r="A42" s="115" t="s">
        <v>202</v>
      </c>
      <c r="B42" s="160" t="s">
        <v>470</v>
      </c>
      <c r="C42" s="115" t="s">
        <v>410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 t="shared" si="3"/>
        <v>0</v>
      </c>
    </row>
    <row r="43" spans="1:9" x14ac:dyDescent="0.15">
      <c r="A43" s="652" t="s">
        <v>631</v>
      </c>
      <c r="B43" s="654" t="s">
        <v>471</v>
      </c>
      <c r="C43" s="653" t="s">
        <v>173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 t="shared" si="3"/>
        <v>0</v>
      </c>
    </row>
    <row r="44" spans="1:9" x14ac:dyDescent="0.15">
      <c r="B44" s="160" t="s">
        <v>472</v>
      </c>
      <c r="C44" s="115" t="s">
        <v>1572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564">
        <f t="shared" si="3"/>
        <v>0</v>
      </c>
    </row>
    <row r="45" spans="1:9" ht="11.25" thickBot="1" x14ac:dyDescent="0.2">
      <c r="C45" s="115"/>
      <c r="D45" s="14"/>
      <c r="E45" s="14"/>
      <c r="F45" s="14"/>
      <c r="G45" s="14"/>
      <c r="I45" s="167"/>
    </row>
    <row r="46" spans="1:9" ht="12" thickTop="1" thickBot="1" x14ac:dyDescent="0.2">
      <c r="B46" s="160" t="s">
        <v>478</v>
      </c>
      <c r="C46" s="115" t="s">
        <v>502</v>
      </c>
      <c r="D46" s="156">
        <f t="shared" ref="D46:I46" si="4">SUM(D35:D45)</f>
        <v>0</v>
      </c>
      <c r="E46" s="156">
        <f t="shared" si="4"/>
        <v>0</v>
      </c>
      <c r="F46" s="156">
        <f t="shared" si="4"/>
        <v>0</v>
      </c>
      <c r="G46" s="156">
        <f t="shared" si="4"/>
        <v>0</v>
      </c>
      <c r="H46" s="156">
        <f t="shared" si="4"/>
        <v>0</v>
      </c>
      <c r="I46" s="173">
        <f t="shared" si="4"/>
        <v>0</v>
      </c>
    </row>
    <row r="47" spans="1:9" ht="11.25" thickTop="1" x14ac:dyDescent="0.15">
      <c r="C47" s="115"/>
      <c r="D47" s="14"/>
      <c r="E47" s="14"/>
      <c r="F47" s="14"/>
      <c r="G47" s="14"/>
      <c r="I47" s="167"/>
    </row>
    <row r="48" spans="1:9" x14ac:dyDescent="0.15">
      <c r="C48" s="172" t="s">
        <v>411</v>
      </c>
      <c r="D48" s="14"/>
      <c r="E48" s="14"/>
      <c r="F48" s="14"/>
      <c r="G48" s="14"/>
      <c r="I48" s="167"/>
    </row>
    <row r="49" spans="1:9" x14ac:dyDescent="0.15">
      <c r="A49" s="160" t="s">
        <v>1580</v>
      </c>
      <c r="B49" s="160" t="s">
        <v>479</v>
      </c>
      <c r="C49" s="172" t="s">
        <v>412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564">
        <f>G49+H49</f>
        <v>0</v>
      </c>
    </row>
    <row r="50" spans="1:9" x14ac:dyDescent="0.15">
      <c r="A50" s="152" t="s">
        <v>1583</v>
      </c>
      <c r="B50" s="152" t="s">
        <v>480</v>
      </c>
      <c r="C50" s="158" t="s">
        <v>160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564">
        <f t="shared" ref="I50:I59" si="5">G50+H50</f>
        <v>0</v>
      </c>
    </row>
    <row r="51" spans="1:9" x14ac:dyDescent="0.15">
      <c r="A51" s="115" t="s">
        <v>200</v>
      </c>
      <c r="B51" s="160" t="s">
        <v>481</v>
      </c>
      <c r="C51" s="115" t="s">
        <v>161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564">
        <f t="shared" si="5"/>
        <v>0</v>
      </c>
    </row>
    <row r="52" spans="1:9" x14ac:dyDescent="0.15">
      <c r="A52" s="152" t="s">
        <v>201</v>
      </c>
      <c r="B52" s="160" t="s">
        <v>482</v>
      </c>
      <c r="C52" s="115" t="s">
        <v>162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64">
        <f t="shared" si="5"/>
        <v>0</v>
      </c>
    </row>
    <row r="53" spans="1:9" x14ac:dyDescent="0.15">
      <c r="A53" s="152" t="s">
        <v>158</v>
      </c>
      <c r="B53" s="160" t="s">
        <v>483</v>
      </c>
      <c r="C53" s="115" t="s">
        <v>464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64">
        <f t="shared" si="5"/>
        <v>0</v>
      </c>
    </row>
    <row r="54" spans="1:9" x14ac:dyDescent="0.15">
      <c r="A54" s="152" t="s">
        <v>159</v>
      </c>
      <c r="B54" s="160" t="s">
        <v>484</v>
      </c>
      <c r="C54" s="172" t="s">
        <v>465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564">
        <f t="shared" si="5"/>
        <v>0</v>
      </c>
    </row>
    <row r="55" spans="1:9" x14ac:dyDescent="0.15">
      <c r="A55" s="152" t="s">
        <v>466</v>
      </c>
      <c r="B55" s="160" t="s">
        <v>485</v>
      </c>
      <c r="C55" s="172" t="s">
        <v>468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564">
        <f t="shared" si="5"/>
        <v>0</v>
      </c>
    </row>
    <row r="56" spans="1:9" x14ac:dyDescent="0.15">
      <c r="A56" s="152" t="s">
        <v>634</v>
      </c>
      <c r="B56" s="160" t="s">
        <v>486</v>
      </c>
      <c r="C56" s="115" t="s">
        <v>409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564">
        <f t="shared" si="5"/>
        <v>0</v>
      </c>
    </row>
    <row r="57" spans="1:9" x14ac:dyDescent="0.15">
      <c r="A57" s="115" t="s">
        <v>202</v>
      </c>
      <c r="B57" s="160" t="s">
        <v>487</v>
      </c>
      <c r="C57" s="115" t="s">
        <v>410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564">
        <f t="shared" si="5"/>
        <v>0</v>
      </c>
    </row>
    <row r="58" spans="1:9" x14ac:dyDescent="0.15">
      <c r="A58" s="652" t="s">
        <v>631</v>
      </c>
      <c r="B58" s="654" t="s">
        <v>488</v>
      </c>
      <c r="C58" s="653" t="s">
        <v>173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564">
        <f t="shared" si="5"/>
        <v>0</v>
      </c>
    </row>
    <row r="59" spans="1:9" x14ac:dyDescent="0.15">
      <c r="B59" s="160" t="s">
        <v>489</v>
      </c>
      <c r="C59" s="115" t="s">
        <v>1572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564">
        <f t="shared" si="5"/>
        <v>0</v>
      </c>
    </row>
    <row r="60" spans="1:9" ht="11.25" thickBot="1" x14ac:dyDescent="0.2">
      <c r="C60" s="115"/>
      <c r="D60" s="14"/>
      <c r="E60" s="14"/>
      <c r="F60" s="14"/>
      <c r="G60" s="14"/>
      <c r="I60" s="167"/>
    </row>
    <row r="61" spans="1:9" ht="12" thickTop="1" thickBot="1" x14ac:dyDescent="0.2">
      <c r="B61" s="160" t="s">
        <v>490</v>
      </c>
      <c r="C61" s="172" t="s">
        <v>503</v>
      </c>
      <c r="D61" s="156">
        <f t="shared" ref="D61:I61" si="6">SUM(D49:D59)</f>
        <v>0</v>
      </c>
      <c r="E61" s="156">
        <f t="shared" si="6"/>
        <v>0</v>
      </c>
      <c r="F61" s="156">
        <f t="shared" si="6"/>
        <v>0</v>
      </c>
      <c r="G61" s="156">
        <f t="shared" si="6"/>
        <v>0</v>
      </c>
      <c r="H61" s="156">
        <f t="shared" si="6"/>
        <v>0</v>
      </c>
      <c r="I61" s="173">
        <f t="shared" si="6"/>
        <v>0</v>
      </c>
    </row>
    <row r="62" spans="1:9" ht="11.25" thickTop="1" x14ac:dyDescent="0.15">
      <c r="C62" s="115"/>
      <c r="D62" s="14"/>
      <c r="E62" s="14"/>
      <c r="F62" s="14"/>
      <c r="G62" s="14"/>
      <c r="I62" s="167"/>
    </row>
    <row r="63" spans="1:9" x14ac:dyDescent="0.15">
      <c r="C63" s="115" t="s">
        <v>391</v>
      </c>
      <c r="D63" s="14"/>
      <c r="E63" s="14"/>
      <c r="F63" s="14"/>
      <c r="G63" s="14"/>
      <c r="I63" s="167"/>
    </row>
    <row r="64" spans="1:9" x14ac:dyDescent="0.15">
      <c r="A64" s="160" t="s">
        <v>434</v>
      </c>
      <c r="B64" s="160" t="s">
        <v>491</v>
      </c>
      <c r="C64" s="115" t="s">
        <v>413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564">
        <f>G64+H64</f>
        <v>0</v>
      </c>
    </row>
    <row r="65" spans="1:9" x14ac:dyDescent="0.15">
      <c r="A65" s="160"/>
      <c r="B65" s="160" t="s">
        <v>492</v>
      </c>
      <c r="C65" s="115" t="s">
        <v>414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564">
        <f>G65+H65</f>
        <v>0</v>
      </c>
    </row>
    <row r="66" spans="1:9" x14ac:dyDescent="0.15">
      <c r="A66" s="495" t="s">
        <v>853</v>
      </c>
      <c r="B66" s="511"/>
      <c r="C66" s="138"/>
      <c r="D66" s="161"/>
      <c r="E66" s="161"/>
      <c r="F66" s="161"/>
      <c r="G66" s="161"/>
      <c r="H66" s="291"/>
      <c r="I66" s="671"/>
    </row>
    <row r="67" spans="1:9" x14ac:dyDescent="0.15">
      <c r="A67" s="423"/>
      <c r="B67" s="511"/>
      <c r="C67" s="658" t="s">
        <v>852</v>
      </c>
      <c r="D67" s="529">
        <f t="shared" ref="D67:I67" si="7">+D30</f>
        <v>0</v>
      </c>
      <c r="E67" s="529">
        <f t="shared" si="7"/>
        <v>0</v>
      </c>
      <c r="F67" s="529">
        <f t="shared" si="7"/>
        <v>0</v>
      </c>
      <c r="G67" s="529">
        <f t="shared" si="7"/>
        <v>0</v>
      </c>
      <c r="H67" s="529">
        <f t="shared" si="7"/>
        <v>0</v>
      </c>
      <c r="I67" s="529">
        <f t="shared" si="7"/>
        <v>0</v>
      </c>
    </row>
    <row r="68" spans="1:9" ht="11.25" thickBot="1" x14ac:dyDescent="0.2">
      <c r="C68" s="115"/>
      <c r="D68" s="14"/>
      <c r="E68" s="14"/>
      <c r="F68" s="14"/>
      <c r="G68" s="14"/>
      <c r="I68" s="167"/>
    </row>
    <row r="69" spans="1:9" ht="12" thickTop="1" thickBot="1" x14ac:dyDescent="0.2">
      <c r="B69" s="160" t="s">
        <v>493</v>
      </c>
      <c r="C69" s="115" t="s">
        <v>1264</v>
      </c>
      <c r="D69" s="173">
        <f t="shared" ref="D69:I69" si="8">SUM(D64:D68)</f>
        <v>0</v>
      </c>
      <c r="E69" s="173">
        <f t="shared" si="8"/>
        <v>0</v>
      </c>
      <c r="F69" s="173">
        <f t="shared" si="8"/>
        <v>0</v>
      </c>
      <c r="G69" s="173">
        <f t="shared" si="8"/>
        <v>0</v>
      </c>
      <c r="H69" s="173">
        <f t="shared" si="8"/>
        <v>0</v>
      </c>
      <c r="I69" s="173">
        <f t="shared" si="8"/>
        <v>0</v>
      </c>
    </row>
    <row r="70" spans="1:9" ht="12" thickTop="1" thickBot="1" x14ac:dyDescent="0.2">
      <c r="C70" s="115"/>
      <c r="D70" s="14"/>
      <c r="E70" s="14"/>
      <c r="F70" s="14"/>
      <c r="G70" s="14"/>
      <c r="I70" s="167"/>
    </row>
    <row r="71" spans="1:9" ht="12" thickTop="1" thickBot="1" x14ac:dyDescent="0.2">
      <c r="B71" s="204" t="s">
        <v>494</v>
      </c>
      <c r="C71" s="35" t="s">
        <v>501</v>
      </c>
      <c r="D71" s="169">
        <f t="shared" ref="D71:I71" si="9">D46+D61+D69</f>
        <v>0</v>
      </c>
      <c r="E71" s="169">
        <f t="shared" si="9"/>
        <v>0</v>
      </c>
      <c r="F71" s="169">
        <f t="shared" si="9"/>
        <v>0</v>
      </c>
      <c r="G71" s="169">
        <f t="shared" si="9"/>
        <v>0</v>
      </c>
      <c r="H71" s="169">
        <f t="shared" si="9"/>
        <v>0</v>
      </c>
      <c r="I71" s="169">
        <f t="shared" si="9"/>
        <v>0</v>
      </c>
    </row>
    <row r="72" spans="1:9" ht="11.25" thickTop="1" x14ac:dyDescent="0.15">
      <c r="E72" s="159"/>
      <c r="F72" s="159"/>
      <c r="G72" s="159"/>
      <c r="I72" s="167"/>
    </row>
    <row r="73" spans="1:9" x14ac:dyDescent="0.15">
      <c r="A73" s="155" t="s">
        <v>110</v>
      </c>
      <c r="C73" s="210" t="s">
        <v>737</v>
      </c>
      <c r="D73" s="159"/>
      <c r="E73" s="159"/>
      <c r="F73" s="159"/>
      <c r="G73" s="159"/>
      <c r="I73" s="167"/>
    </row>
    <row r="74" spans="1:9" x14ac:dyDescent="0.15">
      <c r="A74" s="154" t="s">
        <v>1522</v>
      </c>
      <c r="B74" s="160" t="s">
        <v>495</v>
      </c>
      <c r="C74" s="115" t="s">
        <v>1516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564">
        <f>G74+H74</f>
        <v>0</v>
      </c>
    </row>
    <row r="75" spans="1:9" x14ac:dyDescent="0.15">
      <c r="A75" s="154" t="s">
        <v>1523</v>
      </c>
      <c r="B75" s="160" t="s">
        <v>496</v>
      </c>
      <c r="C75" s="115" t="s">
        <v>1517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564">
        <f>G75+H75</f>
        <v>0</v>
      </c>
    </row>
    <row r="76" spans="1:9" x14ac:dyDescent="0.15">
      <c r="A76" s="154" t="s">
        <v>1524</v>
      </c>
      <c r="B76" s="160" t="s">
        <v>497</v>
      </c>
      <c r="C76" s="115" t="s">
        <v>1518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564">
        <f>G76+H76</f>
        <v>0</v>
      </c>
    </row>
    <row r="77" spans="1:9" ht="9.75" customHeight="1" x14ac:dyDescent="0.15">
      <c r="A77" s="725" t="s">
        <v>1675</v>
      </c>
      <c r="B77" s="160" t="s">
        <v>498</v>
      </c>
      <c r="C77" s="692" t="s">
        <v>1676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564">
        <f>G77+H77</f>
        <v>0</v>
      </c>
    </row>
    <row r="78" spans="1:9" ht="11.25" thickBot="1" x14ac:dyDescent="0.2">
      <c r="A78" s="154" t="s">
        <v>1526</v>
      </c>
      <c r="B78" s="160" t="s">
        <v>499</v>
      </c>
      <c r="C78" s="115" t="s">
        <v>1520</v>
      </c>
      <c r="D78" s="150">
        <v>0</v>
      </c>
      <c r="E78" s="150">
        <v>0</v>
      </c>
      <c r="F78" s="150">
        <v>0</v>
      </c>
      <c r="G78" s="150">
        <v>0</v>
      </c>
      <c r="H78" s="41">
        <v>0</v>
      </c>
      <c r="I78" s="564">
        <f>G78+H78</f>
        <v>0</v>
      </c>
    </row>
    <row r="79" spans="1:9" ht="12" thickTop="1" thickBot="1" x14ac:dyDescent="0.2">
      <c r="A79" s="149"/>
      <c r="B79" s="160" t="s">
        <v>500</v>
      </c>
      <c r="C79" s="1" t="s">
        <v>1687</v>
      </c>
      <c r="D79" s="151">
        <f t="shared" ref="D79:I79" si="10">SUM(D74:D78)</f>
        <v>0</v>
      </c>
      <c r="E79" s="151">
        <f t="shared" si="10"/>
        <v>0</v>
      </c>
      <c r="F79" s="151">
        <f t="shared" si="10"/>
        <v>0</v>
      </c>
      <c r="G79" s="151">
        <f t="shared" si="10"/>
        <v>0</v>
      </c>
      <c r="H79" s="151">
        <f t="shared" si="10"/>
        <v>0</v>
      </c>
      <c r="I79" s="169">
        <f t="shared" si="10"/>
        <v>0</v>
      </c>
    </row>
    <row r="80" spans="1:9" ht="12" thickTop="1" thickBot="1" x14ac:dyDescent="0.2">
      <c r="A80" s="149"/>
      <c r="C80" s="115"/>
      <c r="D80" s="159"/>
      <c r="E80" s="159"/>
      <c r="F80" s="159"/>
      <c r="G80" s="159"/>
      <c r="I80" s="167"/>
    </row>
    <row r="81" spans="1:9" ht="11.25" thickBot="1" x14ac:dyDescent="0.2">
      <c r="A81" s="776" t="s">
        <v>504</v>
      </c>
      <c r="B81" s="776"/>
      <c r="C81" s="777"/>
      <c r="D81" s="212">
        <f t="shared" ref="D81:I81" si="11">D71+D79</f>
        <v>0</v>
      </c>
      <c r="E81" s="212">
        <f t="shared" si="11"/>
        <v>0</v>
      </c>
      <c r="F81" s="212">
        <f t="shared" si="11"/>
        <v>0</v>
      </c>
      <c r="G81" s="212">
        <f t="shared" si="11"/>
        <v>0</v>
      </c>
      <c r="H81" s="212">
        <f t="shared" si="11"/>
        <v>0</v>
      </c>
      <c r="I81" s="212">
        <f t="shared" si="11"/>
        <v>0</v>
      </c>
    </row>
    <row r="82" spans="1:9" x14ac:dyDescent="0.15">
      <c r="A82" s="149"/>
      <c r="C82" s="115" t="s">
        <v>725</v>
      </c>
      <c r="D82" s="159"/>
      <c r="E82" s="159"/>
      <c r="F82" s="159"/>
      <c r="G82" s="159"/>
      <c r="I82" s="167"/>
    </row>
    <row r="83" spans="1:9" ht="11.25" thickBot="1" x14ac:dyDescent="0.2">
      <c r="A83" s="149"/>
      <c r="C83" s="115"/>
      <c r="D83" s="159"/>
      <c r="E83" s="159"/>
      <c r="F83" s="159"/>
      <c r="G83" s="159"/>
      <c r="I83" s="167"/>
    </row>
    <row r="84" spans="1:9" ht="12" thickTop="1" thickBot="1" x14ac:dyDescent="0.2">
      <c r="C84" s="172" t="s">
        <v>726</v>
      </c>
      <c r="D84" s="173">
        <f t="shared" ref="D84:I84" si="12">D27</f>
        <v>0</v>
      </c>
      <c r="E84" s="173">
        <f t="shared" si="12"/>
        <v>0</v>
      </c>
      <c r="F84" s="173">
        <f t="shared" si="12"/>
        <v>0</v>
      </c>
      <c r="G84" s="173">
        <f t="shared" si="12"/>
        <v>0</v>
      </c>
      <c r="H84" s="173">
        <f t="shared" si="12"/>
        <v>0</v>
      </c>
      <c r="I84" s="173">
        <f t="shared" si="12"/>
        <v>0</v>
      </c>
    </row>
    <row r="85" spans="1:9" ht="11.25" thickTop="1" x14ac:dyDescent="0.15">
      <c r="I85" s="167"/>
    </row>
    <row r="86" spans="1:9" x14ac:dyDescent="0.15">
      <c r="C86" s="172" t="s">
        <v>727</v>
      </c>
      <c r="D86" s="158">
        <f t="shared" ref="D86:I86" si="13">D81-D84</f>
        <v>0</v>
      </c>
      <c r="E86" s="158">
        <f t="shared" si="13"/>
        <v>0</v>
      </c>
      <c r="F86" s="158">
        <f t="shared" si="13"/>
        <v>0</v>
      </c>
      <c r="G86" s="158">
        <f t="shared" si="13"/>
        <v>0</v>
      </c>
      <c r="H86" s="158">
        <f t="shared" si="13"/>
        <v>0</v>
      </c>
      <c r="I86" s="167">
        <f t="shared" si="13"/>
        <v>0</v>
      </c>
    </row>
    <row r="87" spans="1:9" x14ac:dyDescent="0.15">
      <c r="B87" s="3"/>
      <c r="D87" s="3"/>
      <c r="E87" s="8"/>
      <c r="F87" s="8"/>
      <c r="G87" s="159"/>
      <c r="I87" s="167"/>
    </row>
    <row r="88" spans="1:9" x14ac:dyDescent="0.15">
      <c r="A88" s="3" t="s">
        <v>1227</v>
      </c>
      <c r="D88" s="3"/>
      <c r="E88" s="8"/>
      <c r="F88" s="8"/>
      <c r="G88" s="159"/>
      <c r="I88" s="167"/>
    </row>
    <row r="89" spans="1:9" x14ac:dyDescent="0.15">
      <c r="B89" s="3"/>
      <c r="D89" s="3"/>
      <c r="E89" s="8"/>
      <c r="F89" s="8"/>
      <c r="G89" s="159"/>
    </row>
    <row r="90" spans="1:9" x14ac:dyDescent="0.15">
      <c r="A90" s="653" t="s">
        <v>851</v>
      </c>
      <c r="B90" s="719"/>
      <c r="C90" s="719"/>
      <c r="D90" s="720"/>
      <c r="E90" s="721"/>
      <c r="F90" s="721"/>
      <c r="G90" s="159"/>
    </row>
  </sheetData>
  <sheetProtection formatCells="0" formatColumns="0" formatRows="0"/>
  <mergeCells count="1">
    <mergeCell ref="A81:C81"/>
  </mergeCells>
  <phoneticPr fontId="15" type="noConversion"/>
  <pageMargins left="0.5" right="0.5" top="0.75" bottom="0.75" header="0.5" footer="0.5"/>
  <pageSetup scale="65" firstPageNumber="29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topLeftCell="A58" zoomScale="80" zoomScaleNormal="80" workbookViewId="0">
      <selection activeCell="A3" sqref="A3"/>
    </sheetView>
  </sheetViews>
  <sheetFormatPr defaultRowHeight="10.5" x14ac:dyDescent="0.15"/>
  <cols>
    <col min="1" max="1" width="9.33203125" style="289"/>
    <col min="3" max="3" width="61.33203125" customWidth="1"/>
    <col min="4" max="4" width="11.5" customWidth="1"/>
    <col min="5" max="5" width="10.83203125" customWidth="1"/>
    <col min="6" max="6" width="11.83203125" customWidth="1"/>
    <col min="7" max="7" width="11.6640625" customWidth="1"/>
    <col min="8" max="8" width="11" customWidth="1"/>
    <col min="9" max="9" width="11.5" customWidth="1"/>
    <col min="10" max="10" width="12.6640625" customWidth="1"/>
    <col min="11" max="12" width="11.5" customWidth="1"/>
    <col min="13" max="21" width="13.83203125" customWidth="1"/>
    <col min="22" max="22" width="13.83203125" style="289" customWidth="1"/>
    <col min="23" max="23" width="13.83203125" customWidth="1"/>
    <col min="24" max="24" width="12.6640625" customWidth="1"/>
    <col min="25" max="25" width="12" customWidth="1"/>
  </cols>
  <sheetData>
    <row r="1" spans="1:25" ht="15.75" customHeight="1" x14ac:dyDescent="0.25">
      <c r="A1" s="325"/>
      <c r="C1" s="325"/>
      <c r="D1" s="382">
        <f t="shared" ref="D1:W1" si="0">IF(D3&gt;4000,300,IF(D3&gt;3000,200,100))</f>
        <v>100</v>
      </c>
      <c r="E1" s="382">
        <f t="shared" si="0"/>
        <v>100</v>
      </c>
      <c r="F1" s="382">
        <f t="shared" si="0"/>
        <v>100</v>
      </c>
      <c r="G1" s="382">
        <f t="shared" si="0"/>
        <v>100</v>
      </c>
      <c r="H1" s="382">
        <f t="shared" si="0"/>
        <v>100</v>
      </c>
      <c r="I1" s="382">
        <f t="shared" si="0"/>
        <v>100</v>
      </c>
      <c r="J1" s="382">
        <f t="shared" si="0"/>
        <v>100</v>
      </c>
      <c r="K1" s="382">
        <f t="shared" si="0"/>
        <v>100</v>
      </c>
      <c r="L1" s="382">
        <f t="shared" si="0"/>
        <v>100</v>
      </c>
      <c r="M1" s="382">
        <f t="shared" si="0"/>
        <v>100</v>
      </c>
      <c r="N1" s="382">
        <f t="shared" si="0"/>
        <v>100</v>
      </c>
      <c r="O1" s="382">
        <f t="shared" si="0"/>
        <v>100</v>
      </c>
      <c r="P1" s="382">
        <f t="shared" si="0"/>
        <v>100</v>
      </c>
      <c r="Q1" s="382">
        <f t="shared" si="0"/>
        <v>100</v>
      </c>
      <c r="R1" s="382">
        <f t="shared" si="0"/>
        <v>100</v>
      </c>
      <c r="S1" s="382">
        <f t="shared" si="0"/>
        <v>100</v>
      </c>
      <c r="T1" s="382">
        <f t="shared" si="0"/>
        <v>100</v>
      </c>
      <c r="U1" s="382">
        <f t="shared" si="0"/>
        <v>100</v>
      </c>
      <c r="V1" s="382">
        <f t="shared" si="0"/>
        <v>100</v>
      </c>
      <c r="W1" s="382">
        <f t="shared" si="0"/>
        <v>100</v>
      </c>
      <c r="X1" s="328"/>
    </row>
    <row r="2" spans="1:25" ht="15" x14ac:dyDescent="0.25">
      <c r="A2" s="372" t="s">
        <v>1707</v>
      </c>
      <c r="C2" s="329"/>
      <c r="D2" s="382">
        <f>D1+COUNTIF($D$1:D$1,D1)</f>
        <v>101</v>
      </c>
      <c r="E2" s="382">
        <f>E1+COUNTIF($D$1:E$1,E1)</f>
        <v>102</v>
      </c>
      <c r="F2" s="382">
        <f>F1+COUNTIF($D$1:F$1,F1)</f>
        <v>103</v>
      </c>
      <c r="G2" s="382">
        <f>G1+COUNTIF($D$1:G$1,G1)</f>
        <v>104</v>
      </c>
      <c r="H2" s="382">
        <f>H1+COUNTIF($D$1:H$1,H1)</f>
        <v>105</v>
      </c>
      <c r="I2" s="382">
        <f>I1+COUNTIF($D$1:I$1,I1)</f>
        <v>106</v>
      </c>
      <c r="J2" s="382">
        <f>J1+COUNTIF($D$1:J$1,J1)</f>
        <v>107</v>
      </c>
      <c r="K2" s="382">
        <f>K1+COUNTIF($D$1:K$1,K1)</f>
        <v>108</v>
      </c>
      <c r="L2" s="382">
        <f>L1+COUNTIF($D$1:L$1,L1)</f>
        <v>109</v>
      </c>
      <c r="M2" s="382">
        <f>M1+COUNTIF($D$1:M$1,M1)</f>
        <v>110</v>
      </c>
      <c r="N2" s="382">
        <f>N1+COUNTIF($D$1:N$1,N1)</f>
        <v>111</v>
      </c>
      <c r="O2" s="382">
        <f>O1+COUNTIF($D$1:O$1,O1)</f>
        <v>112</v>
      </c>
      <c r="P2" s="382">
        <f>P1+COUNTIF($D$1:P$1,P1)</f>
        <v>113</v>
      </c>
      <c r="Q2" s="382">
        <f>Q1+COUNTIF($D$1:Q$1,Q1)</f>
        <v>114</v>
      </c>
      <c r="R2" s="382">
        <f>R1+COUNTIF($D$1:R$1,R1)</f>
        <v>115</v>
      </c>
      <c r="S2" s="382">
        <f>S1+COUNTIF($D$1:S$1,S1)</f>
        <v>116</v>
      </c>
      <c r="T2" s="382">
        <f>T1+COUNTIF($D$1:T$1,T1)</f>
        <v>117</v>
      </c>
      <c r="U2" s="382">
        <f>U1+COUNTIF($D$1:U$1,U1)</f>
        <v>118</v>
      </c>
      <c r="V2" s="382">
        <f>V1+COUNTIF($D$1:V$1,V1)</f>
        <v>119</v>
      </c>
      <c r="W2" s="382">
        <f>W1+COUNTIF($D$1:W$1,W1)</f>
        <v>120</v>
      </c>
      <c r="X2" s="328"/>
    </row>
    <row r="3" spans="1:25" s="135" customFormat="1" ht="12.75" x14ac:dyDescent="0.2">
      <c r="A3" s="367"/>
      <c r="C3" s="622" t="s">
        <v>287</v>
      </c>
      <c r="D3" s="672"/>
      <c r="E3" s="673"/>
      <c r="F3" s="673"/>
      <c r="G3" s="672"/>
      <c r="H3" s="674"/>
      <c r="I3" s="673"/>
      <c r="J3" s="673"/>
      <c r="K3" s="672"/>
      <c r="L3" s="674"/>
      <c r="M3" s="674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368"/>
    </row>
    <row r="4" spans="1:25" ht="11.25" x14ac:dyDescent="0.15">
      <c r="A4" s="330" t="s">
        <v>267</v>
      </c>
      <c r="B4" s="330" t="s">
        <v>198</v>
      </c>
      <c r="C4" s="331" t="s">
        <v>1208</v>
      </c>
      <c r="D4" s="619"/>
      <c r="E4" s="619"/>
      <c r="F4" s="619"/>
      <c r="G4" s="619"/>
      <c r="H4" s="619"/>
      <c r="I4" s="619"/>
      <c r="J4" s="620"/>
      <c r="K4" s="619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332" t="s">
        <v>1211</v>
      </c>
      <c r="Y4" s="333"/>
    </row>
    <row r="5" spans="1:25" ht="11.25" x14ac:dyDescent="0.15">
      <c r="A5" s="334"/>
      <c r="C5" s="335"/>
      <c r="D5" s="336"/>
      <c r="E5" s="336"/>
      <c r="F5" s="336"/>
      <c r="G5" s="336"/>
      <c r="H5" s="336"/>
      <c r="I5" s="336"/>
      <c r="J5" s="336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8"/>
    </row>
    <row r="6" spans="1:25" ht="11.25" x14ac:dyDescent="0.15">
      <c r="A6" s="334"/>
      <c r="C6" s="335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9"/>
    </row>
    <row r="7" spans="1:25" ht="11.25" x14ac:dyDescent="0.2">
      <c r="A7" s="340">
        <v>1</v>
      </c>
      <c r="C7" s="329" t="s">
        <v>268</v>
      </c>
      <c r="D7" s="589">
        <v>0</v>
      </c>
      <c r="E7" s="589">
        <v>0</v>
      </c>
      <c r="F7" s="589">
        <v>0</v>
      </c>
      <c r="G7" s="589">
        <v>0</v>
      </c>
      <c r="H7" s="589">
        <v>0</v>
      </c>
      <c r="I7" s="589">
        <v>0</v>
      </c>
      <c r="J7" s="589">
        <v>0</v>
      </c>
      <c r="K7" s="589">
        <v>0</v>
      </c>
      <c r="L7" s="589">
        <v>0</v>
      </c>
      <c r="M7" s="589">
        <v>0</v>
      </c>
      <c r="N7" s="589">
        <v>0</v>
      </c>
      <c r="O7" s="589">
        <v>0</v>
      </c>
      <c r="P7" s="589">
        <v>0</v>
      </c>
      <c r="Q7" s="589">
        <v>0</v>
      </c>
      <c r="R7" s="589">
        <v>0</v>
      </c>
      <c r="S7" s="589">
        <v>0</v>
      </c>
      <c r="T7" s="589">
        <v>0</v>
      </c>
      <c r="U7" s="589">
        <v>0</v>
      </c>
      <c r="V7" s="589">
        <v>0</v>
      </c>
      <c r="W7" s="589">
        <v>0</v>
      </c>
      <c r="X7" s="341">
        <f>SUM(D7:W7)</f>
        <v>0</v>
      </c>
      <c r="Y7" s="342"/>
    </row>
    <row r="8" spans="1:25" ht="11.25" x14ac:dyDescent="0.2">
      <c r="A8" s="340" t="s">
        <v>269</v>
      </c>
      <c r="C8" s="343" t="s">
        <v>43</v>
      </c>
      <c r="D8" s="589">
        <v>0</v>
      </c>
      <c r="E8" s="589">
        <v>0</v>
      </c>
      <c r="F8" s="589">
        <v>0</v>
      </c>
      <c r="G8" s="589">
        <v>0</v>
      </c>
      <c r="H8" s="589">
        <v>0</v>
      </c>
      <c r="I8" s="589">
        <v>0</v>
      </c>
      <c r="J8" s="589">
        <v>0</v>
      </c>
      <c r="K8" s="589">
        <v>0</v>
      </c>
      <c r="L8" s="589">
        <v>0</v>
      </c>
      <c r="M8" s="589">
        <v>0</v>
      </c>
      <c r="N8" s="589">
        <v>0</v>
      </c>
      <c r="O8" s="589">
        <v>0</v>
      </c>
      <c r="P8" s="589">
        <v>0</v>
      </c>
      <c r="Q8" s="589">
        <v>0</v>
      </c>
      <c r="R8" s="589">
        <v>0</v>
      </c>
      <c r="S8" s="589">
        <v>0</v>
      </c>
      <c r="T8" s="589">
        <v>0</v>
      </c>
      <c r="U8" s="589">
        <v>0</v>
      </c>
      <c r="V8" s="589">
        <v>0</v>
      </c>
      <c r="W8" s="589">
        <v>0</v>
      </c>
      <c r="X8" s="341">
        <f>SUM(D8:W8)</f>
        <v>0</v>
      </c>
    </row>
    <row r="9" spans="1:25" ht="11.25" x14ac:dyDescent="0.2">
      <c r="A9" s="340" t="s">
        <v>270</v>
      </c>
      <c r="C9" s="343" t="s">
        <v>53</v>
      </c>
      <c r="D9" s="589">
        <v>0</v>
      </c>
      <c r="E9" s="589">
        <v>0</v>
      </c>
      <c r="F9" s="589">
        <v>0</v>
      </c>
      <c r="G9" s="589">
        <v>0</v>
      </c>
      <c r="H9" s="589">
        <v>0</v>
      </c>
      <c r="I9" s="589">
        <v>0</v>
      </c>
      <c r="J9" s="589">
        <v>0</v>
      </c>
      <c r="K9" s="589">
        <v>0</v>
      </c>
      <c r="L9" s="589">
        <v>0</v>
      </c>
      <c r="M9" s="589">
        <v>0</v>
      </c>
      <c r="N9" s="589">
        <v>0</v>
      </c>
      <c r="O9" s="589">
        <v>0</v>
      </c>
      <c r="P9" s="589">
        <v>0</v>
      </c>
      <c r="Q9" s="589">
        <v>0</v>
      </c>
      <c r="R9" s="589">
        <v>0</v>
      </c>
      <c r="S9" s="589">
        <v>0</v>
      </c>
      <c r="T9" s="589">
        <v>0</v>
      </c>
      <c r="U9" s="589">
        <v>0</v>
      </c>
      <c r="V9" s="589">
        <v>0</v>
      </c>
      <c r="W9" s="589">
        <v>0</v>
      </c>
      <c r="X9" s="341">
        <f>SUM(D9:W9)</f>
        <v>0</v>
      </c>
    </row>
    <row r="10" spans="1:25" ht="11.25" x14ac:dyDescent="0.2">
      <c r="A10" s="340">
        <v>3</v>
      </c>
      <c r="C10" s="329" t="s">
        <v>271</v>
      </c>
      <c r="D10" s="589">
        <v>0</v>
      </c>
      <c r="E10" s="589">
        <v>0</v>
      </c>
      <c r="F10" s="589">
        <v>0</v>
      </c>
      <c r="G10" s="589">
        <v>0</v>
      </c>
      <c r="H10" s="589">
        <v>0</v>
      </c>
      <c r="I10" s="589">
        <v>0</v>
      </c>
      <c r="J10" s="589">
        <v>0</v>
      </c>
      <c r="K10" s="589">
        <v>0</v>
      </c>
      <c r="L10" s="589">
        <v>0</v>
      </c>
      <c r="M10" s="589">
        <v>0</v>
      </c>
      <c r="N10" s="589">
        <v>0</v>
      </c>
      <c r="O10" s="589">
        <v>0</v>
      </c>
      <c r="P10" s="589">
        <v>0</v>
      </c>
      <c r="Q10" s="589">
        <v>0</v>
      </c>
      <c r="R10" s="589">
        <v>0</v>
      </c>
      <c r="S10" s="589">
        <v>0</v>
      </c>
      <c r="T10" s="589">
        <v>0</v>
      </c>
      <c r="U10" s="589">
        <v>0</v>
      </c>
      <c r="V10" s="589">
        <v>0</v>
      </c>
      <c r="W10" s="589">
        <v>0</v>
      </c>
      <c r="X10" s="341">
        <f>SUM(D10:W10)</f>
        <v>0</v>
      </c>
    </row>
    <row r="11" spans="1:25" ht="11.25" x14ac:dyDescent="0.2">
      <c r="A11" s="340" t="s">
        <v>272</v>
      </c>
      <c r="C11" s="329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1"/>
    </row>
    <row r="12" spans="1:25" ht="11.25" x14ac:dyDescent="0.2">
      <c r="A12" s="340">
        <v>4</v>
      </c>
      <c r="C12" s="346" t="s">
        <v>294</v>
      </c>
      <c r="D12" s="347">
        <f>SUM(D7:D10)</f>
        <v>0</v>
      </c>
      <c r="E12" s="347">
        <f>SUM(E7:E10)</f>
        <v>0</v>
      </c>
      <c r="F12" s="347">
        <f>SUM(F7:F10)</f>
        <v>0</v>
      </c>
      <c r="G12" s="347">
        <f>SUM(G7:G10)</f>
        <v>0</v>
      </c>
      <c r="H12" s="347">
        <f t="shared" ref="H12:W12" si="1">SUM(H7:H10)</f>
        <v>0</v>
      </c>
      <c r="I12" s="347">
        <f t="shared" si="1"/>
        <v>0</v>
      </c>
      <c r="J12" s="347">
        <f t="shared" si="1"/>
        <v>0</v>
      </c>
      <c r="K12" s="347">
        <f t="shared" si="1"/>
        <v>0</v>
      </c>
      <c r="L12" s="347">
        <f t="shared" si="1"/>
        <v>0</v>
      </c>
      <c r="M12" s="347">
        <f t="shared" si="1"/>
        <v>0</v>
      </c>
      <c r="N12" s="347">
        <f t="shared" si="1"/>
        <v>0</v>
      </c>
      <c r="O12" s="347">
        <f t="shared" si="1"/>
        <v>0</v>
      </c>
      <c r="P12" s="347">
        <f t="shared" si="1"/>
        <v>0</v>
      </c>
      <c r="Q12" s="347">
        <f t="shared" si="1"/>
        <v>0</v>
      </c>
      <c r="R12" s="347">
        <f t="shared" si="1"/>
        <v>0</v>
      </c>
      <c r="S12" s="347">
        <f t="shared" si="1"/>
        <v>0</v>
      </c>
      <c r="T12" s="347">
        <f t="shared" si="1"/>
        <v>0</v>
      </c>
      <c r="U12" s="347">
        <f t="shared" si="1"/>
        <v>0</v>
      </c>
      <c r="V12" s="347">
        <f t="shared" si="1"/>
        <v>0</v>
      </c>
      <c r="W12" s="347">
        <f t="shared" si="1"/>
        <v>0</v>
      </c>
      <c r="X12" s="341">
        <f>SUM(D12:W12)</f>
        <v>0</v>
      </c>
    </row>
    <row r="13" spans="1:25" ht="11.25" x14ac:dyDescent="0.2">
      <c r="A13" s="371" t="s">
        <v>1432</v>
      </c>
      <c r="B13" s="369"/>
      <c r="C13" s="348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</row>
    <row r="14" spans="1:25" ht="11.25" x14ac:dyDescent="0.2">
      <c r="A14" s="340">
        <v>5</v>
      </c>
      <c r="B14" s="588" t="s">
        <v>1577</v>
      </c>
      <c r="C14" s="312" t="s">
        <v>228</v>
      </c>
      <c r="D14" s="528">
        <f t="array" ref="D14">SUM(IF(CertFund&amp;CertProg&amp;CertObj&amp;CertGrant=RIGHT(LEFT($A$2,7),2)&amp;LEFT($A$13,4)&amp;$B$14&amp;D$3,CertSalary))</f>
        <v>0</v>
      </c>
      <c r="E14" s="528">
        <f t="array" ref="E14">SUM(IF(CertFund&amp;CertProg&amp;CertObj&amp;CertGrant=RIGHT(LEFT($A$2,7),2)&amp;LEFT($A$13,4)&amp;$B$14&amp;E$3,CertSalary))</f>
        <v>0</v>
      </c>
      <c r="F14" s="528">
        <f t="array" ref="F14">SUM(IF(CertFund&amp;CertProg&amp;CertObj&amp;CertGrant=RIGHT(LEFT($A$2,7),2)&amp;LEFT($A$13,4)&amp;$B$14&amp;F$3,CertSalary))</f>
        <v>0</v>
      </c>
      <c r="G14" s="528">
        <f t="array" ref="G14">SUM(IF(CertFund&amp;CertProg&amp;CertObj&amp;CertGrant=RIGHT(LEFT($A$2,7),2)&amp;LEFT($A$13,4)&amp;$B$14&amp;G$3,CertSalary))</f>
        <v>0</v>
      </c>
      <c r="H14" s="528">
        <f t="array" ref="H14">SUM(IF(CertFund&amp;CertProg&amp;CertObj&amp;CertGrant=RIGHT(LEFT($A$2,7),2)&amp;LEFT($A$13,4)&amp;$B$14&amp;H$3,CertSalary))</f>
        <v>0</v>
      </c>
      <c r="I14" s="528">
        <f t="array" ref="I14">SUM(IF(CertFund&amp;CertProg&amp;CertObj&amp;CertGrant=RIGHT(LEFT($A$2,7),2)&amp;LEFT($A$13,4)&amp;$B$14&amp;I$3,CertSalary))</f>
        <v>0</v>
      </c>
      <c r="J14" s="528">
        <f t="array" ref="J14">SUM(IF(CertFund&amp;CertProg&amp;CertObj&amp;CertGrant=RIGHT(LEFT($A$2,7),2)&amp;LEFT($A$13,4)&amp;$B$14&amp;J$3,CertSalary))</f>
        <v>0</v>
      </c>
      <c r="K14" s="528">
        <f t="array" ref="K14">SUM(IF(CertFund&amp;CertProg&amp;CertObj&amp;CertGrant=RIGHT(LEFT($A$2,7),2)&amp;LEFT($A$13,4)&amp;$B$14&amp;K$3,CertSalary))</f>
        <v>0</v>
      </c>
      <c r="L14" s="528">
        <f t="array" ref="L14">SUM(IF(CertFund&amp;CertProg&amp;CertObj&amp;CertGrant=RIGHT(LEFT($A$2,7),2)&amp;LEFT($A$13,4)&amp;$B$14&amp;L$3,CertSalary))</f>
        <v>0</v>
      </c>
      <c r="M14" s="528">
        <f t="array" ref="M14">SUM(IF(CertFund&amp;CertProg&amp;CertObj&amp;CertGrant=RIGHT(LEFT($A$2,7),2)&amp;LEFT($A$13,4)&amp;$B$14&amp;M$3,CertSalary))</f>
        <v>0</v>
      </c>
      <c r="N14" s="528">
        <f t="array" ref="N14">SUM(IF(CertFund&amp;CertProg&amp;CertObj&amp;CertGrant=RIGHT(LEFT($A$2,7),2)&amp;LEFT($A$13,4)&amp;$B$14&amp;N$3,CertSalary))</f>
        <v>0</v>
      </c>
      <c r="O14" s="528">
        <f t="array" ref="O14">SUM(IF(CertFund&amp;CertProg&amp;CertObj&amp;CertGrant=RIGHT(LEFT($A$2,7),2)&amp;LEFT($A$13,4)&amp;$B$14&amp;O$3,CertSalary))</f>
        <v>0</v>
      </c>
      <c r="P14" s="528">
        <f t="array" ref="P14">SUM(IF(CertFund&amp;CertProg&amp;CertObj&amp;CertGrant=RIGHT(LEFT($A$2,7),2)&amp;LEFT($A$13,4)&amp;$B$14&amp;P$3,CertSalary))</f>
        <v>0</v>
      </c>
      <c r="Q14" s="528">
        <f t="array" ref="Q14">SUM(IF(CertFund&amp;CertProg&amp;CertObj&amp;CertGrant=RIGHT(LEFT($A$2,7),2)&amp;LEFT($A$13,4)&amp;$B$14&amp;Q$3,CertSalary))</f>
        <v>0</v>
      </c>
      <c r="R14" s="528">
        <f t="array" ref="R14">SUM(IF(CertFund&amp;CertProg&amp;CertObj&amp;CertGrant=RIGHT(LEFT($A$2,7),2)&amp;LEFT($A$13,4)&amp;$B$14&amp;R$3,CertSalary))</f>
        <v>0</v>
      </c>
      <c r="S14" s="528">
        <f t="array" ref="S14">SUM(IF(CertFund&amp;CertProg&amp;CertObj&amp;CertGrant=RIGHT(LEFT($A$2,7),2)&amp;LEFT($A$13,4)&amp;$B$14&amp;S$3,CertSalary))</f>
        <v>0</v>
      </c>
      <c r="T14" s="528">
        <f t="array" ref="T14">SUM(IF(CertFund&amp;CertProg&amp;CertObj&amp;CertGrant=RIGHT(LEFT($A$2,7),2)&amp;LEFT($A$13,4)&amp;$B$14&amp;T$3,CertSalary))</f>
        <v>0</v>
      </c>
      <c r="U14" s="528">
        <f t="array" ref="U14">SUM(IF(CertFund&amp;CertProg&amp;CertObj&amp;CertGrant=RIGHT(LEFT($A$2,7),2)&amp;LEFT($A$13,4)&amp;$B$14&amp;U$3,CertSalary))</f>
        <v>0</v>
      </c>
      <c r="V14" s="528">
        <f t="array" ref="V14">SUM(IF(CertFund&amp;CertProg&amp;CertObj&amp;CertGrant=RIGHT(LEFT($A$2,7),2)&amp;LEFT($A$13,4)&amp;$B$14&amp;V$3,CertSalary))</f>
        <v>0</v>
      </c>
      <c r="W14" s="528">
        <f t="array" ref="W14">SUM(IF(CertFund&amp;CertProg&amp;CertObj&amp;CertGrant=RIGHT(LEFT($A$2,7),2)&amp;LEFT($A$13,4)&amp;$B$14&amp;W$3,CertSalary))</f>
        <v>0</v>
      </c>
      <c r="X14" s="347">
        <f t="shared" ref="X14:X22" si="2">SUM(D14:W14)</f>
        <v>0</v>
      </c>
    </row>
    <row r="15" spans="1:25" ht="11.25" x14ac:dyDescent="0.2">
      <c r="A15" s="340" t="s">
        <v>1437</v>
      </c>
      <c r="B15" s="588" t="s">
        <v>1577</v>
      </c>
      <c r="C15" s="312" t="s">
        <v>510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341">
        <f t="shared" si="2"/>
        <v>0</v>
      </c>
    </row>
    <row r="16" spans="1:25" ht="11.25" x14ac:dyDescent="0.2">
      <c r="A16" s="340">
        <v>6</v>
      </c>
      <c r="B16" s="588" t="s">
        <v>1578</v>
      </c>
      <c r="C16" s="312" t="s">
        <v>76</v>
      </c>
      <c r="D16" s="528">
        <f t="array" ref="D16">SUM(IF(CertFund&amp;CertProg&amp;CertObj&amp;CertGrant=RIGHT(LEFT($A$2,7),2)&amp;LEFT($A$13,4)&amp;$B$14&amp;D$3,CertBen))</f>
        <v>0</v>
      </c>
      <c r="E16" s="528">
        <f t="array" ref="E16">SUM(IF(CertFund&amp;CertProg&amp;CertObj&amp;CertGrant=RIGHT(LEFT($A$2,7),2)&amp;LEFT($A$13,4)&amp;$B$14&amp;E$3,CertBen))</f>
        <v>0</v>
      </c>
      <c r="F16" s="528">
        <f t="array" ref="F16">SUM(IF(CertFund&amp;CertProg&amp;CertObj&amp;CertGrant=RIGHT(LEFT($A$2,7),2)&amp;LEFT($A$13,4)&amp;$B$14&amp;F$3,CertBen))</f>
        <v>0</v>
      </c>
      <c r="G16" s="528">
        <f t="array" ref="G16">SUM(IF(CertFund&amp;CertProg&amp;CertObj&amp;CertGrant=RIGHT(LEFT($A$2,7),2)&amp;LEFT($A$13,4)&amp;$B$14&amp;G$3,CertBen))</f>
        <v>0</v>
      </c>
      <c r="H16" s="528">
        <f t="array" ref="H16">SUM(IF(CertFund&amp;CertProg&amp;CertObj&amp;CertGrant=RIGHT(LEFT($A$2,7),2)&amp;LEFT($A$13,4)&amp;$B$14&amp;H$3,CertBen))</f>
        <v>0</v>
      </c>
      <c r="I16" s="528">
        <f t="array" ref="I16">SUM(IF(CertFund&amp;CertProg&amp;CertObj&amp;CertGrant=RIGHT(LEFT($A$2,7),2)&amp;LEFT($A$13,4)&amp;$B$14&amp;I$3,CertBen))</f>
        <v>0</v>
      </c>
      <c r="J16" s="528">
        <f t="array" ref="J16">SUM(IF(CertFund&amp;CertProg&amp;CertObj&amp;CertGrant=RIGHT(LEFT($A$2,7),2)&amp;LEFT($A$13,4)&amp;$B$14&amp;J$3,CertBen))</f>
        <v>0</v>
      </c>
      <c r="K16" s="528">
        <f t="array" ref="K16">SUM(IF(CertFund&amp;CertProg&amp;CertObj&amp;CertGrant=RIGHT(LEFT($A$2,7),2)&amp;LEFT($A$13,4)&amp;$B$14&amp;K$3,CertBen))</f>
        <v>0</v>
      </c>
      <c r="L16" s="528">
        <f t="array" ref="L16">SUM(IF(CertFund&amp;CertProg&amp;CertObj&amp;CertGrant=RIGHT(LEFT($A$2,7),2)&amp;LEFT($A$13,4)&amp;$B$14&amp;L$3,CertBen))</f>
        <v>0</v>
      </c>
      <c r="M16" s="528">
        <f t="array" ref="M16">SUM(IF(CertFund&amp;CertProg&amp;CertObj&amp;CertGrant=RIGHT(LEFT($A$2,7),2)&amp;LEFT($A$13,4)&amp;$B$14&amp;M$3,CertBen))</f>
        <v>0</v>
      </c>
      <c r="N16" s="528">
        <f t="array" ref="N16">SUM(IF(CertFund&amp;CertProg&amp;CertObj&amp;CertGrant=RIGHT(LEFT($A$2,7),2)&amp;LEFT($A$13,4)&amp;$B$14&amp;N$3,CertBen))</f>
        <v>0</v>
      </c>
      <c r="O16" s="528">
        <f t="array" ref="O16">SUM(IF(CertFund&amp;CertProg&amp;CertObj&amp;CertGrant=RIGHT(LEFT($A$2,7),2)&amp;LEFT($A$13,4)&amp;$B$14&amp;O$3,CertBen))</f>
        <v>0</v>
      </c>
      <c r="P16" s="528">
        <f t="array" ref="P16">SUM(IF(CertFund&amp;CertProg&amp;CertObj&amp;CertGrant=RIGHT(LEFT($A$2,7),2)&amp;LEFT($A$13,4)&amp;$B$14&amp;P$3,CertBen))</f>
        <v>0</v>
      </c>
      <c r="Q16" s="528">
        <f t="array" ref="Q16">SUM(IF(CertFund&amp;CertProg&amp;CertObj&amp;CertGrant=RIGHT(LEFT($A$2,7),2)&amp;LEFT($A$13,4)&amp;$B$14&amp;Q$3,CertBen))</f>
        <v>0</v>
      </c>
      <c r="R16" s="528">
        <f t="array" ref="R16">SUM(IF(CertFund&amp;CertProg&amp;CertObj&amp;CertGrant=RIGHT(LEFT($A$2,7),2)&amp;LEFT($A$13,4)&amp;$B$14&amp;R$3,CertBen))</f>
        <v>0</v>
      </c>
      <c r="S16" s="528">
        <f t="array" ref="S16">SUM(IF(CertFund&amp;CertProg&amp;CertObj&amp;CertGrant=RIGHT(LEFT($A$2,7),2)&amp;LEFT($A$13,4)&amp;$B$14&amp;S$3,CertBen))</f>
        <v>0</v>
      </c>
      <c r="T16" s="528">
        <f t="array" ref="T16">SUM(IF(CertFund&amp;CertProg&amp;CertObj&amp;CertGrant=RIGHT(LEFT($A$2,7),2)&amp;LEFT($A$13,4)&amp;$B$14&amp;T$3,CertBen))</f>
        <v>0</v>
      </c>
      <c r="U16" s="528">
        <f t="array" ref="U16">SUM(IF(CertFund&amp;CertProg&amp;CertObj&amp;CertGrant=RIGHT(LEFT($A$2,7),2)&amp;LEFT($A$13,4)&amp;$B$14&amp;U$3,CertBen))</f>
        <v>0</v>
      </c>
      <c r="V16" s="528">
        <f t="array" ref="V16">SUM(IF(CertFund&amp;CertProg&amp;CertObj&amp;CertGrant=RIGHT(LEFT($A$2,7),2)&amp;LEFT($A$13,4)&amp;$B$14&amp;V$3,CertBen))</f>
        <v>0</v>
      </c>
      <c r="W16" s="528">
        <f t="array" ref="W16">SUM(IF(CertFund&amp;CertProg&amp;CertObj&amp;CertGrant=RIGHT(LEFT($A$2,7),2)&amp;LEFT($A$13,4)&amp;$B$14&amp;W$3,CertBen))</f>
        <v>0</v>
      </c>
      <c r="X16" s="341">
        <f t="shared" si="2"/>
        <v>0</v>
      </c>
    </row>
    <row r="17" spans="1:24" ht="11.25" x14ac:dyDescent="0.2">
      <c r="A17" s="340" t="s">
        <v>1438</v>
      </c>
      <c r="B17" s="588" t="s">
        <v>1578</v>
      </c>
      <c r="C17" s="312" t="s">
        <v>511</v>
      </c>
      <c r="D17" s="590">
        <v>0</v>
      </c>
      <c r="E17" s="590">
        <v>0</v>
      </c>
      <c r="F17" s="590">
        <v>0</v>
      </c>
      <c r="G17" s="590">
        <v>0</v>
      </c>
      <c r="H17" s="590">
        <v>0</v>
      </c>
      <c r="I17" s="590">
        <v>0</v>
      </c>
      <c r="J17" s="590">
        <v>0</v>
      </c>
      <c r="K17" s="590">
        <v>0</v>
      </c>
      <c r="L17" s="590">
        <v>0</v>
      </c>
      <c r="M17" s="590">
        <v>0</v>
      </c>
      <c r="N17" s="590">
        <v>0</v>
      </c>
      <c r="O17" s="590">
        <v>0</v>
      </c>
      <c r="P17" s="590">
        <v>0</v>
      </c>
      <c r="Q17" s="590">
        <v>0</v>
      </c>
      <c r="R17" s="590">
        <v>0</v>
      </c>
      <c r="S17" s="590">
        <v>0</v>
      </c>
      <c r="T17" s="590">
        <v>0</v>
      </c>
      <c r="U17" s="590">
        <v>0</v>
      </c>
      <c r="V17" s="590">
        <v>0</v>
      </c>
      <c r="W17" s="590">
        <v>0</v>
      </c>
      <c r="X17" s="341">
        <f t="shared" si="2"/>
        <v>0</v>
      </c>
    </row>
    <row r="18" spans="1:24" ht="11.25" x14ac:dyDescent="0.2">
      <c r="A18" s="340">
        <v>7</v>
      </c>
      <c r="B18" s="188" t="s">
        <v>1579</v>
      </c>
      <c r="C18" s="329" t="s">
        <v>273</v>
      </c>
      <c r="D18" s="590">
        <v>0</v>
      </c>
      <c r="E18" s="590">
        <v>0</v>
      </c>
      <c r="F18" s="590">
        <v>0</v>
      </c>
      <c r="G18" s="590">
        <v>0</v>
      </c>
      <c r="H18" s="590">
        <v>0</v>
      </c>
      <c r="I18" s="590">
        <v>0</v>
      </c>
      <c r="J18" s="590">
        <v>0</v>
      </c>
      <c r="K18" s="590">
        <v>0</v>
      </c>
      <c r="L18" s="591">
        <v>0</v>
      </c>
      <c r="M18" s="591">
        <v>0</v>
      </c>
      <c r="N18" s="591">
        <v>0</v>
      </c>
      <c r="O18" s="591">
        <v>0</v>
      </c>
      <c r="P18" s="591">
        <v>0</v>
      </c>
      <c r="Q18" s="591">
        <v>0</v>
      </c>
      <c r="R18" s="591">
        <v>0</v>
      </c>
      <c r="S18" s="591">
        <v>0</v>
      </c>
      <c r="T18" s="591">
        <v>0</v>
      </c>
      <c r="U18" s="591">
        <v>0</v>
      </c>
      <c r="V18" s="591">
        <v>0</v>
      </c>
      <c r="W18" s="591">
        <v>0</v>
      </c>
      <c r="X18" s="341">
        <f t="shared" si="2"/>
        <v>0</v>
      </c>
    </row>
    <row r="19" spans="1:24" ht="11.25" x14ac:dyDescent="0.2">
      <c r="A19" s="340">
        <v>8</v>
      </c>
      <c r="B19" s="188" t="s">
        <v>1581</v>
      </c>
      <c r="C19" s="329" t="s">
        <v>274</v>
      </c>
      <c r="D19" s="590">
        <v>0</v>
      </c>
      <c r="E19" s="590">
        <v>0</v>
      </c>
      <c r="F19" s="590">
        <v>0</v>
      </c>
      <c r="G19" s="590">
        <v>0</v>
      </c>
      <c r="H19" s="590">
        <v>0</v>
      </c>
      <c r="I19" s="590">
        <v>0</v>
      </c>
      <c r="J19" s="590">
        <v>0</v>
      </c>
      <c r="K19" s="590">
        <v>0</v>
      </c>
      <c r="L19" s="591">
        <v>0</v>
      </c>
      <c r="M19" s="591">
        <v>0</v>
      </c>
      <c r="N19" s="591">
        <v>0</v>
      </c>
      <c r="O19" s="591">
        <v>0</v>
      </c>
      <c r="P19" s="591">
        <v>0</v>
      </c>
      <c r="Q19" s="591">
        <v>0</v>
      </c>
      <c r="R19" s="591">
        <v>0</v>
      </c>
      <c r="S19" s="591">
        <v>0</v>
      </c>
      <c r="T19" s="591">
        <v>0</v>
      </c>
      <c r="U19" s="591">
        <v>0</v>
      </c>
      <c r="V19" s="591">
        <v>0</v>
      </c>
      <c r="W19" s="591">
        <v>0</v>
      </c>
      <c r="X19" s="341">
        <f t="shared" si="2"/>
        <v>0</v>
      </c>
    </row>
    <row r="20" spans="1:24" ht="11.25" x14ac:dyDescent="0.2">
      <c r="A20" s="340">
        <v>9</v>
      </c>
      <c r="B20" s="188" t="s">
        <v>1582</v>
      </c>
      <c r="C20" s="329" t="s">
        <v>275</v>
      </c>
      <c r="D20" s="590">
        <v>0</v>
      </c>
      <c r="E20" s="590">
        <v>0</v>
      </c>
      <c r="F20" s="590">
        <v>0</v>
      </c>
      <c r="G20" s="590">
        <v>0</v>
      </c>
      <c r="H20" s="590">
        <v>0</v>
      </c>
      <c r="I20" s="590">
        <v>0</v>
      </c>
      <c r="J20" s="590">
        <v>0</v>
      </c>
      <c r="K20" s="590">
        <v>0</v>
      </c>
      <c r="L20" s="591">
        <v>0</v>
      </c>
      <c r="M20" s="591">
        <v>0</v>
      </c>
      <c r="N20" s="591">
        <v>0</v>
      </c>
      <c r="O20" s="591">
        <v>0</v>
      </c>
      <c r="P20" s="591">
        <v>0</v>
      </c>
      <c r="Q20" s="591">
        <v>0</v>
      </c>
      <c r="R20" s="591">
        <v>0</v>
      </c>
      <c r="S20" s="591">
        <v>0</v>
      </c>
      <c r="T20" s="591">
        <v>0</v>
      </c>
      <c r="U20" s="591">
        <v>0</v>
      </c>
      <c r="V20" s="591">
        <v>0</v>
      </c>
      <c r="W20" s="591">
        <v>0</v>
      </c>
      <c r="X20" s="341">
        <f t="shared" si="2"/>
        <v>0</v>
      </c>
    </row>
    <row r="21" spans="1:24" ht="11.25" x14ac:dyDescent="0.2">
      <c r="A21" s="350">
        <v>10</v>
      </c>
      <c r="B21" s="188" t="s">
        <v>1584</v>
      </c>
      <c r="C21" s="327" t="s">
        <v>276</v>
      </c>
      <c r="D21" s="590">
        <v>0</v>
      </c>
      <c r="E21" s="590">
        <v>0</v>
      </c>
      <c r="F21" s="590">
        <v>0</v>
      </c>
      <c r="G21" s="590">
        <v>0</v>
      </c>
      <c r="H21" s="590">
        <v>0</v>
      </c>
      <c r="I21" s="590">
        <v>0</v>
      </c>
      <c r="J21" s="590">
        <v>0</v>
      </c>
      <c r="K21" s="590">
        <v>0</v>
      </c>
      <c r="L21" s="591">
        <v>0</v>
      </c>
      <c r="M21" s="591">
        <v>0</v>
      </c>
      <c r="N21" s="591">
        <v>0</v>
      </c>
      <c r="O21" s="591">
        <v>0</v>
      </c>
      <c r="P21" s="591">
        <v>0</v>
      </c>
      <c r="Q21" s="591">
        <v>0</v>
      </c>
      <c r="R21" s="591">
        <v>0</v>
      </c>
      <c r="S21" s="591">
        <v>0</v>
      </c>
      <c r="T21" s="591">
        <v>0</v>
      </c>
      <c r="U21" s="591">
        <v>0</v>
      </c>
      <c r="V21" s="591">
        <v>0</v>
      </c>
      <c r="W21" s="591">
        <v>0</v>
      </c>
      <c r="X21" s="341">
        <f t="shared" si="2"/>
        <v>0</v>
      </c>
    </row>
    <row r="22" spans="1:24" ht="11.25" x14ac:dyDescent="0.2">
      <c r="A22" s="340">
        <v>11</v>
      </c>
      <c r="C22" s="346" t="s">
        <v>1626</v>
      </c>
      <c r="D22" s="347">
        <f>SUM(D14:D21)</f>
        <v>0</v>
      </c>
      <c r="E22" s="347">
        <f t="shared" ref="E22:W22" si="3">SUM(E14:E21)</f>
        <v>0</v>
      </c>
      <c r="F22" s="347">
        <f t="shared" si="3"/>
        <v>0</v>
      </c>
      <c r="G22" s="347">
        <f t="shared" si="3"/>
        <v>0</v>
      </c>
      <c r="H22" s="347">
        <f t="shared" si="3"/>
        <v>0</v>
      </c>
      <c r="I22" s="347">
        <f t="shared" si="3"/>
        <v>0</v>
      </c>
      <c r="J22" s="347">
        <f t="shared" si="3"/>
        <v>0</v>
      </c>
      <c r="K22" s="347">
        <f t="shared" si="3"/>
        <v>0</v>
      </c>
      <c r="L22" s="347">
        <f t="shared" si="3"/>
        <v>0</v>
      </c>
      <c r="M22" s="347">
        <f t="shared" si="3"/>
        <v>0</v>
      </c>
      <c r="N22" s="347">
        <f t="shared" si="3"/>
        <v>0</v>
      </c>
      <c r="O22" s="347">
        <f t="shared" si="3"/>
        <v>0</v>
      </c>
      <c r="P22" s="347">
        <f t="shared" si="3"/>
        <v>0</v>
      </c>
      <c r="Q22" s="347">
        <f t="shared" si="3"/>
        <v>0</v>
      </c>
      <c r="R22" s="347">
        <f t="shared" si="3"/>
        <v>0</v>
      </c>
      <c r="S22" s="347">
        <f t="shared" si="3"/>
        <v>0</v>
      </c>
      <c r="T22" s="347">
        <f t="shared" si="3"/>
        <v>0</v>
      </c>
      <c r="U22" s="347">
        <f t="shared" si="3"/>
        <v>0</v>
      </c>
      <c r="V22" s="347">
        <f t="shared" si="3"/>
        <v>0</v>
      </c>
      <c r="W22" s="347">
        <f t="shared" si="3"/>
        <v>0</v>
      </c>
      <c r="X22" s="341">
        <f t="shared" si="2"/>
        <v>0</v>
      </c>
    </row>
    <row r="23" spans="1:24" ht="11.25" x14ac:dyDescent="0.2">
      <c r="A23" s="371" t="s">
        <v>1433</v>
      </c>
      <c r="B23" s="369"/>
      <c r="C23" s="348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</row>
    <row r="24" spans="1:24" ht="11.25" x14ac:dyDescent="0.2">
      <c r="A24" s="340">
        <v>5</v>
      </c>
      <c r="B24" s="588" t="s">
        <v>1577</v>
      </c>
      <c r="C24" s="312" t="s">
        <v>228</v>
      </c>
      <c r="D24" s="528">
        <f t="array" ref="D24">SUM(IF(CertFund&amp;CertProg&amp;CertObj&amp;CertGrant=RIGHT(LEFT($A$2,7),2)&amp;LEFT($A$23,4)&amp;$B$24&amp;D$3,CertSalary))</f>
        <v>0</v>
      </c>
      <c r="E24" s="528">
        <f t="array" ref="E24">SUM(IF(CertFund&amp;CertProg&amp;CertObj&amp;CertGrant=RIGHT(LEFT($A$2,7),2)&amp;LEFT($A$23,4)&amp;$B$24&amp;E$3,CertSalary))</f>
        <v>0</v>
      </c>
      <c r="F24" s="528">
        <f t="array" ref="F24">SUM(IF(CertFund&amp;CertProg&amp;CertObj&amp;CertGrant=RIGHT(LEFT($A$2,7),2)&amp;LEFT($A$23,4)&amp;$B$24&amp;F$3,CertSalary))</f>
        <v>0</v>
      </c>
      <c r="G24" s="528">
        <f t="array" ref="G24">SUM(IF(CertFund&amp;CertProg&amp;CertObj&amp;CertGrant=RIGHT(LEFT($A$2,7),2)&amp;LEFT($A$23,4)&amp;$B$24&amp;G$3,CertSalary))</f>
        <v>0</v>
      </c>
      <c r="H24" s="528">
        <f t="array" ref="H24">SUM(IF(CertFund&amp;CertProg&amp;CertObj&amp;CertGrant=RIGHT(LEFT($A$2,7),2)&amp;LEFT($A$23,4)&amp;$B$24&amp;H$3,CertSalary))</f>
        <v>0</v>
      </c>
      <c r="I24" s="528">
        <f t="array" ref="I24">SUM(IF(CertFund&amp;CertProg&amp;CertObj&amp;CertGrant=RIGHT(LEFT($A$2,7),2)&amp;LEFT($A$23,4)&amp;$B$24&amp;I$3,CertSalary))</f>
        <v>0</v>
      </c>
      <c r="J24" s="528">
        <f t="array" ref="J24">SUM(IF(CertFund&amp;CertProg&amp;CertObj&amp;CertGrant=RIGHT(LEFT($A$2,7),2)&amp;LEFT($A$23,4)&amp;$B$24&amp;J$3,CertSalary))</f>
        <v>0</v>
      </c>
      <c r="K24" s="528">
        <f t="array" ref="K24">SUM(IF(CertFund&amp;CertProg&amp;CertObj&amp;CertGrant=RIGHT(LEFT($A$2,7),2)&amp;LEFT($A$23,4)&amp;$B$24&amp;K$3,CertSalary))</f>
        <v>0</v>
      </c>
      <c r="L24" s="528">
        <f t="array" ref="L24">SUM(IF(CertFund&amp;CertProg&amp;CertObj&amp;CertGrant=RIGHT(LEFT($A$2,7),2)&amp;LEFT($A$23,4)&amp;$B$24&amp;L$3,CertSalary))</f>
        <v>0</v>
      </c>
      <c r="M24" s="528">
        <f t="array" ref="M24">SUM(IF(CertFund&amp;CertProg&amp;CertObj&amp;CertGrant=RIGHT(LEFT($A$2,7),2)&amp;LEFT($A$23,4)&amp;$B$24&amp;M$3,CertSalary))</f>
        <v>0</v>
      </c>
      <c r="N24" s="528">
        <f t="array" ref="N24">SUM(IF(CertFund&amp;CertProg&amp;CertObj&amp;CertGrant=RIGHT(LEFT($A$2,7),2)&amp;LEFT($A$23,4)&amp;$B$24&amp;N$3,CertSalary))</f>
        <v>0</v>
      </c>
      <c r="O24" s="528">
        <f t="array" ref="O24">SUM(IF(CertFund&amp;CertProg&amp;CertObj&amp;CertGrant=RIGHT(LEFT($A$2,7),2)&amp;LEFT($A$23,4)&amp;$B$24&amp;O$3,CertSalary))</f>
        <v>0</v>
      </c>
      <c r="P24" s="528">
        <f t="array" ref="P24">SUM(IF(CertFund&amp;CertProg&amp;CertObj&amp;CertGrant=RIGHT(LEFT($A$2,7),2)&amp;LEFT($A$23,4)&amp;$B$24&amp;P$3,CertSalary))</f>
        <v>0</v>
      </c>
      <c r="Q24" s="528">
        <f t="array" ref="Q24">SUM(IF(CertFund&amp;CertProg&amp;CertObj&amp;CertGrant=RIGHT(LEFT($A$2,7),2)&amp;LEFT($A$23,4)&amp;$B$24&amp;Q$3,CertSalary))</f>
        <v>0</v>
      </c>
      <c r="R24" s="528">
        <f t="array" ref="R24">SUM(IF(CertFund&amp;CertProg&amp;CertObj&amp;CertGrant=RIGHT(LEFT($A$2,7),2)&amp;LEFT($A$23,4)&amp;$B$24&amp;R$3,CertSalary))</f>
        <v>0</v>
      </c>
      <c r="S24" s="528">
        <f t="array" ref="S24">SUM(IF(CertFund&amp;CertProg&amp;CertObj&amp;CertGrant=RIGHT(LEFT($A$2,7),2)&amp;LEFT($A$23,4)&amp;$B$24&amp;S$3,CertSalary))</f>
        <v>0</v>
      </c>
      <c r="T24" s="528">
        <f t="array" ref="T24">SUM(IF(CertFund&amp;CertProg&amp;CertObj&amp;CertGrant=RIGHT(LEFT($A$2,7),2)&amp;LEFT($A$23,4)&amp;$B$24&amp;T$3,CertSalary))</f>
        <v>0</v>
      </c>
      <c r="U24" s="528">
        <f t="array" ref="U24">SUM(IF(CertFund&amp;CertProg&amp;CertObj&amp;CertGrant=RIGHT(LEFT($A$2,7),2)&amp;LEFT($A$23,4)&amp;$B$24&amp;U$3,CertSalary))</f>
        <v>0</v>
      </c>
      <c r="V24" s="528">
        <f t="array" ref="V24">SUM(IF(CertFund&amp;CertProg&amp;CertObj&amp;CertGrant=RIGHT(LEFT($A$2,7),2)&amp;LEFT($A$23,4)&amp;$B$24&amp;V$3,CertSalary))</f>
        <v>0</v>
      </c>
      <c r="W24" s="528">
        <f t="array" ref="W24">SUM(IF(CertFund&amp;CertProg&amp;CertObj&amp;CertGrant=RIGHT(LEFT($A$2,7),2)&amp;LEFT($A$23,4)&amp;$B$24&amp;W$3,CertSalary))</f>
        <v>0</v>
      </c>
      <c r="X24" s="347">
        <f t="shared" ref="X24:X32" si="4">SUM(D24:W24)</f>
        <v>0</v>
      </c>
    </row>
    <row r="25" spans="1:24" ht="11.25" x14ac:dyDescent="0.2">
      <c r="A25" s="340" t="s">
        <v>1437</v>
      </c>
      <c r="B25" s="588" t="s">
        <v>1577</v>
      </c>
      <c r="C25" s="312" t="s">
        <v>510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341">
        <f t="shared" si="4"/>
        <v>0</v>
      </c>
    </row>
    <row r="26" spans="1:24" ht="11.25" x14ac:dyDescent="0.2">
      <c r="A26" s="340">
        <v>6</v>
      </c>
      <c r="B26" s="588" t="s">
        <v>1578</v>
      </c>
      <c r="C26" s="312" t="s">
        <v>76</v>
      </c>
      <c r="D26" s="528">
        <f t="array" ref="D26">SUM(IF(CertFund&amp;CertProg&amp;CertObj&amp;CertGrant=RIGHT(LEFT($A$2,7),2)&amp;LEFT($A$23,4)&amp;$B$24&amp;D$3,CertBen))</f>
        <v>0</v>
      </c>
      <c r="E26" s="528">
        <f t="array" ref="E26">SUM(IF(CertFund&amp;CertProg&amp;CertObj&amp;CertGrant=RIGHT(LEFT($A$2,7),2)&amp;LEFT($A$23,4)&amp;$B$24&amp;E$3,CertBen))</f>
        <v>0</v>
      </c>
      <c r="F26" s="528">
        <f t="array" ref="F26">SUM(IF(CertFund&amp;CertProg&amp;CertObj&amp;CertGrant=RIGHT(LEFT($A$2,7),2)&amp;LEFT($A$23,4)&amp;$B$24&amp;F$3,CertBen))</f>
        <v>0</v>
      </c>
      <c r="G26" s="528">
        <f t="array" ref="G26">SUM(IF(CertFund&amp;CertProg&amp;CertObj&amp;CertGrant=RIGHT(LEFT($A$2,7),2)&amp;LEFT($A$23,4)&amp;$B$24&amp;G$3,CertBen))</f>
        <v>0</v>
      </c>
      <c r="H26" s="528">
        <f t="array" ref="H26">SUM(IF(CertFund&amp;CertProg&amp;CertObj&amp;CertGrant=RIGHT(LEFT($A$2,7),2)&amp;LEFT($A$23,4)&amp;$B$24&amp;H$3,CertBen))</f>
        <v>0</v>
      </c>
      <c r="I26" s="528">
        <f t="array" ref="I26">SUM(IF(CertFund&amp;CertProg&amp;CertObj&amp;CertGrant=RIGHT(LEFT($A$2,7),2)&amp;LEFT($A$23,4)&amp;$B$24&amp;I$3,CertBen))</f>
        <v>0</v>
      </c>
      <c r="J26" s="528">
        <f t="array" ref="J26">SUM(IF(CertFund&amp;CertProg&amp;CertObj&amp;CertGrant=RIGHT(LEFT($A$2,7),2)&amp;LEFT($A$23,4)&amp;$B$24&amp;J$3,CertBen))</f>
        <v>0</v>
      </c>
      <c r="K26" s="528">
        <f t="array" ref="K26">SUM(IF(CertFund&amp;CertProg&amp;CertObj&amp;CertGrant=RIGHT(LEFT($A$2,7),2)&amp;LEFT($A$23,4)&amp;$B$24&amp;K$3,CertBen))</f>
        <v>0</v>
      </c>
      <c r="L26" s="528">
        <f t="array" ref="L26">SUM(IF(CertFund&amp;CertProg&amp;CertObj&amp;CertGrant=RIGHT(LEFT($A$2,7),2)&amp;LEFT($A$23,4)&amp;$B$24&amp;L$3,CertBen))</f>
        <v>0</v>
      </c>
      <c r="M26" s="528">
        <f t="array" ref="M26">SUM(IF(CertFund&amp;CertProg&amp;CertObj&amp;CertGrant=RIGHT(LEFT($A$2,7),2)&amp;LEFT($A$23,4)&amp;$B$24&amp;M$3,CertBen))</f>
        <v>0</v>
      </c>
      <c r="N26" s="528">
        <f t="array" ref="N26">SUM(IF(CertFund&amp;CertProg&amp;CertObj&amp;CertGrant=RIGHT(LEFT($A$2,7),2)&amp;LEFT($A$23,4)&amp;$B$24&amp;N$3,CertBen))</f>
        <v>0</v>
      </c>
      <c r="O26" s="528">
        <f t="array" ref="O26">SUM(IF(CertFund&amp;CertProg&amp;CertObj&amp;CertGrant=RIGHT(LEFT($A$2,7),2)&amp;LEFT($A$23,4)&amp;$B$24&amp;O$3,CertBen))</f>
        <v>0</v>
      </c>
      <c r="P26" s="528">
        <f t="array" ref="P26">SUM(IF(CertFund&amp;CertProg&amp;CertObj&amp;CertGrant=RIGHT(LEFT($A$2,7),2)&amp;LEFT($A$23,4)&amp;$B$24&amp;P$3,CertBen))</f>
        <v>0</v>
      </c>
      <c r="Q26" s="528">
        <f t="array" ref="Q26">SUM(IF(CertFund&amp;CertProg&amp;CertObj&amp;CertGrant=RIGHT(LEFT($A$2,7),2)&amp;LEFT($A$23,4)&amp;$B$24&amp;Q$3,CertBen))</f>
        <v>0</v>
      </c>
      <c r="R26" s="528">
        <f t="array" ref="R26">SUM(IF(CertFund&amp;CertProg&amp;CertObj&amp;CertGrant=RIGHT(LEFT($A$2,7),2)&amp;LEFT($A$23,4)&amp;$B$24&amp;R$3,CertBen))</f>
        <v>0</v>
      </c>
      <c r="S26" s="528">
        <f t="array" ref="S26">SUM(IF(CertFund&amp;CertProg&amp;CertObj&amp;CertGrant=RIGHT(LEFT($A$2,7),2)&amp;LEFT($A$23,4)&amp;$B$24&amp;S$3,CertBen))</f>
        <v>0</v>
      </c>
      <c r="T26" s="528">
        <f t="array" ref="T26">SUM(IF(CertFund&amp;CertProg&amp;CertObj&amp;CertGrant=RIGHT(LEFT($A$2,7),2)&amp;LEFT($A$23,4)&amp;$B$24&amp;T$3,CertBen))</f>
        <v>0</v>
      </c>
      <c r="U26" s="528">
        <f t="array" ref="U26">SUM(IF(CertFund&amp;CertProg&amp;CertObj&amp;CertGrant=RIGHT(LEFT($A$2,7),2)&amp;LEFT($A$23,4)&amp;$B$24&amp;U$3,CertBen))</f>
        <v>0</v>
      </c>
      <c r="V26" s="528">
        <f t="array" ref="V26">SUM(IF(CertFund&amp;CertProg&amp;CertObj&amp;CertGrant=RIGHT(LEFT($A$2,7),2)&amp;LEFT($A$23,4)&amp;$B$24&amp;V$3,CertBen))</f>
        <v>0</v>
      </c>
      <c r="W26" s="528">
        <f t="array" ref="W26">SUM(IF(CertFund&amp;CertProg&amp;CertObj&amp;CertGrant=RIGHT(LEFT($A$2,7),2)&amp;LEFT($A$23,4)&amp;$B$24&amp;W$3,CertBen))</f>
        <v>0</v>
      </c>
      <c r="X26" s="341">
        <f t="shared" si="4"/>
        <v>0</v>
      </c>
    </row>
    <row r="27" spans="1:24" ht="11.25" x14ac:dyDescent="0.2">
      <c r="A27" s="340" t="s">
        <v>1438</v>
      </c>
      <c r="B27" s="588" t="s">
        <v>1578</v>
      </c>
      <c r="C27" s="312" t="s">
        <v>511</v>
      </c>
      <c r="D27" s="590">
        <v>0</v>
      </c>
      <c r="E27" s="590">
        <v>0</v>
      </c>
      <c r="F27" s="590">
        <v>0</v>
      </c>
      <c r="G27" s="590">
        <v>0</v>
      </c>
      <c r="H27" s="590">
        <v>0</v>
      </c>
      <c r="I27" s="590">
        <v>0</v>
      </c>
      <c r="J27" s="590">
        <v>0</v>
      </c>
      <c r="K27" s="590">
        <v>0</v>
      </c>
      <c r="L27" s="590">
        <v>0</v>
      </c>
      <c r="M27" s="590">
        <v>0</v>
      </c>
      <c r="N27" s="590">
        <v>0</v>
      </c>
      <c r="O27" s="590">
        <v>0</v>
      </c>
      <c r="P27" s="590">
        <v>0</v>
      </c>
      <c r="Q27" s="590">
        <v>0</v>
      </c>
      <c r="R27" s="590">
        <v>0</v>
      </c>
      <c r="S27" s="590">
        <v>0</v>
      </c>
      <c r="T27" s="590">
        <v>0</v>
      </c>
      <c r="U27" s="590">
        <v>0</v>
      </c>
      <c r="V27" s="590">
        <v>0</v>
      </c>
      <c r="W27" s="590">
        <v>0</v>
      </c>
      <c r="X27" s="341">
        <f t="shared" si="4"/>
        <v>0</v>
      </c>
    </row>
    <row r="28" spans="1:24" ht="11.25" x14ac:dyDescent="0.2">
      <c r="A28" s="340">
        <v>7</v>
      </c>
      <c r="B28" s="188" t="s">
        <v>1579</v>
      </c>
      <c r="C28" s="329" t="s">
        <v>273</v>
      </c>
      <c r="D28" s="590">
        <v>0</v>
      </c>
      <c r="E28" s="590">
        <v>0</v>
      </c>
      <c r="F28" s="590">
        <v>0</v>
      </c>
      <c r="G28" s="590">
        <v>0</v>
      </c>
      <c r="H28" s="590">
        <v>0</v>
      </c>
      <c r="I28" s="590">
        <v>0</v>
      </c>
      <c r="J28" s="590">
        <v>0</v>
      </c>
      <c r="K28" s="590">
        <v>0</v>
      </c>
      <c r="L28" s="591">
        <v>0</v>
      </c>
      <c r="M28" s="591">
        <v>0</v>
      </c>
      <c r="N28" s="591">
        <v>0</v>
      </c>
      <c r="O28" s="591">
        <v>0</v>
      </c>
      <c r="P28" s="591">
        <v>0</v>
      </c>
      <c r="Q28" s="591">
        <v>0</v>
      </c>
      <c r="R28" s="591">
        <v>0</v>
      </c>
      <c r="S28" s="591">
        <v>0</v>
      </c>
      <c r="T28" s="591">
        <v>0</v>
      </c>
      <c r="U28" s="591">
        <v>0</v>
      </c>
      <c r="V28" s="591">
        <v>0</v>
      </c>
      <c r="W28" s="591">
        <v>0</v>
      </c>
      <c r="X28" s="341">
        <f t="shared" si="4"/>
        <v>0</v>
      </c>
    </row>
    <row r="29" spans="1:24" ht="11.25" x14ac:dyDescent="0.2">
      <c r="A29" s="340">
        <v>8</v>
      </c>
      <c r="B29" s="188" t="s">
        <v>1581</v>
      </c>
      <c r="C29" s="329" t="s">
        <v>274</v>
      </c>
      <c r="D29" s="590">
        <v>0</v>
      </c>
      <c r="E29" s="590">
        <v>0</v>
      </c>
      <c r="F29" s="590">
        <v>0</v>
      </c>
      <c r="G29" s="590">
        <v>0</v>
      </c>
      <c r="H29" s="590">
        <v>0</v>
      </c>
      <c r="I29" s="590">
        <v>0</v>
      </c>
      <c r="J29" s="590">
        <v>0</v>
      </c>
      <c r="K29" s="590">
        <v>0</v>
      </c>
      <c r="L29" s="591">
        <v>0</v>
      </c>
      <c r="M29" s="591">
        <v>0</v>
      </c>
      <c r="N29" s="591">
        <v>0</v>
      </c>
      <c r="O29" s="591">
        <v>0</v>
      </c>
      <c r="P29" s="591">
        <v>0</v>
      </c>
      <c r="Q29" s="591">
        <v>0</v>
      </c>
      <c r="R29" s="591">
        <v>0</v>
      </c>
      <c r="S29" s="591">
        <v>0</v>
      </c>
      <c r="T29" s="591">
        <v>0</v>
      </c>
      <c r="U29" s="591">
        <v>0</v>
      </c>
      <c r="V29" s="591">
        <v>0</v>
      </c>
      <c r="W29" s="591">
        <v>0</v>
      </c>
      <c r="X29" s="341">
        <f t="shared" si="4"/>
        <v>0</v>
      </c>
    </row>
    <row r="30" spans="1:24" ht="11.25" x14ac:dyDescent="0.2">
      <c r="A30" s="340">
        <v>9</v>
      </c>
      <c r="B30" s="188" t="s">
        <v>1582</v>
      </c>
      <c r="C30" s="329" t="s">
        <v>275</v>
      </c>
      <c r="D30" s="590">
        <v>0</v>
      </c>
      <c r="E30" s="590">
        <v>0</v>
      </c>
      <c r="F30" s="590">
        <v>0</v>
      </c>
      <c r="G30" s="590">
        <v>0</v>
      </c>
      <c r="H30" s="590">
        <v>0</v>
      </c>
      <c r="I30" s="590">
        <v>0</v>
      </c>
      <c r="J30" s="590">
        <v>0</v>
      </c>
      <c r="K30" s="590">
        <v>0</v>
      </c>
      <c r="L30" s="591">
        <v>0</v>
      </c>
      <c r="M30" s="591">
        <v>0</v>
      </c>
      <c r="N30" s="591">
        <v>0</v>
      </c>
      <c r="O30" s="591">
        <v>0</v>
      </c>
      <c r="P30" s="591">
        <v>0</v>
      </c>
      <c r="Q30" s="591">
        <v>0</v>
      </c>
      <c r="R30" s="591">
        <v>0</v>
      </c>
      <c r="S30" s="591">
        <v>0</v>
      </c>
      <c r="T30" s="591">
        <v>0</v>
      </c>
      <c r="U30" s="591">
        <v>0</v>
      </c>
      <c r="V30" s="591">
        <v>0</v>
      </c>
      <c r="W30" s="591">
        <v>0</v>
      </c>
      <c r="X30" s="341">
        <f t="shared" si="4"/>
        <v>0</v>
      </c>
    </row>
    <row r="31" spans="1:24" ht="11.25" x14ac:dyDescent="0.2">
      <c r="A31" s="350">
        <v>10</v>
      </c>
      <c r="B31" s="188" t="s">
        <v>1584</v>
      </c>
      <c r="C31" s="327" t="s">
        <v>276</v>
      </c>
      <c r="D31" s="590">
        <v>0</v>
      </c>
      <c r="E31" s="590">
        <v>0</v>
      </c>
      <c r="F31" s="590">
        <v>0</v>
      </c>
      <c r="G31" s="590">
        <v>0</v>
      </c>
      <c r="H31" s="590">
        <v>0</v>
      </c>
      <c r="I31" s="590">
        <v>0</v>
      </c>
      <c r="J31" s="590">
        <v>0</v>
      </c>
      <c r="K31" s="590">
        <v>0</v>
      </c>
      <c r="L31" s="591">
        <v>0</v>
      </c>
      <c r="M31" s="591">
        <v>0</v>
      </c>
      <c r="N31" s="591">
        <v>0</v>
      </c>
      <c r="O31" s="591">
        <v>0</v>
      </c>
      <c r="P31" s="591">
        <v>0</v>
      </c>
      <c r="Q31" s="591">
        <v>0</v>
      </c>
      <c r="R31" s="591">
        <v>0</v>
      </c>
      <c r="S31" s="591">
        <v>0</v>
      </c>
      <c r="T31" s="591">
        <v>0</v>
      </c>
      <c r="U31" s="591">
        <v>0</v>
      </c>
      <c r="V31" s="591">
        <v>0</v>
      </c>
      <c r="W31" s="591">
        <v>0</v>
      </c>
      <c r="X31" s="341">
        <f t="shared" si="4"/>
        <v>0</v>
      </c>
    </row>
    <row r="32" spans="1:24" ht="11.25" x14ac:dyDescent="0.2">
      <c r="A32" s="340">
        <v>11</v>
      </c>
      <c r="C32" s="346" t="s">
        <v>1627</v>
      </c>
      <c r="D32" s="347">
        <f>SUM(D24:D31)</f>
        <v>0</v>
      </c>
      <c r="E32" s="347">
        <f t="shared" ref="E32:W32" si="5">SUM(E24:E31)</f>
        <v>0</v>
      </c>
      <c r="F32" s="347">
        <f t="shared" si="5"/>
        <v>0</v>
      </c>
      <c r="G32" s="347">
        <f t="shared" si="5"/>
        <v>0</v>
      </c>
      <c r="H32" s="347">
        <f t="shared" si="5"/>
        <v>0</v>
      </c>
      <c r="I32" s="347">
        <f t="shared" si="5"/>
        <v>0</v>
      </c>
      <c r="J32" s="347">
        <f t="shared" si="5"/>
        <v>0</v>
      </c>
      <c r="K32" s="347">
        <f t="shared" si="5"/>
        <v>0</v>
      </c>
      <c r="L32" s="347">
        <f t="shared" si="5"/>
        <v>0</v>
      </c>
      <c r="M32" s="347">
        <f t="shared" si="5"/>
        <v>0</v>
      </c>
      <c r="N32" s="347">
        <f t="shared" si="5"/>
        <v>0</v>
      </c>
      <c r="O32" s="347">
        <f t="shared" si="5"/>
        <v>0</v>
      </c>
      <c r="P32" s="347">
        <f t="shared" si="5"/>
        <v>0</v>
      </c>
      <c r="Q32" s="347">
        <f t="shared" si="5"/>
        <v>0</v>
      </c>
      <c r="R32" s="347">
        <f t="shared" si="5"/>
        <v>0</v>
      </c>
      <c r="S32" s="347">
        <f t="shared" si="5"/>
        <v>0</v>
      </c>
      <c r="T32" s="347">
        <f t="shared" si="5"/>
        <v>0</v>
      </c>
      <c r="U32" s="347">
        <f t="shared" si="5"/>
        <v>0</v>
      </c>
      <c r="V32" s="347">
        <f t="shared" si="5"/>
        <v>0</v>
      </c>
      <c r="W32" s="347">
        <f t="shared" si="5"/>
        <v>0</v>
      </c>
      <c r="X32" s="341">
        <f t="shared" si="4"/>
        <v>0</v>
      </c>
    </row>
    <row r="33" spans="1:24" ht="11.25" x14ac:dyDescent="0.2">
      <c r="A33" s="371" t="s">
        <v>1095</v>
      </c>
      <c r="B33" s="369"/>
      <c r="C33" s="348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</row>
    <row r="34" spans="1:24" ht="11.25" x14ac:dyDescent="0.2">
      <c r="A34" s="340">
        <v>5</v>
      </c>
      <c r="B34" s="588" t="s">
        <v>1577</v>
      </c>
      <c r="C34" s="312" t="s">
        <v>228</v>
      </c>
      <c r="D34" s="528">
        <f t="array" ref="D34">SUM(IF(CertFund&amp;CertProg&amp;CertObj&amp;CertGrant=RIGHT(LEFT($A$2,7),2)&amp;LEFT($A$33,4)&amp;$B$34&amp;D$3,CertSalary))</f>
        <v>0</v>
      </c>
      <c r="E34" s="528">
        <f t="array" ref="E34">SUM(IF(CertFund&amp;CertProg&amp;CertObj&amp;CertGrant=RIGHT(LEFT($A$2,7),2)&amp;LEFT($A$33,4)&amp;$B$34&amp;E$3,CertSalary))</f>
        <v>0</v>
      </c>
      <c r="F34" s="528">
        <f t="array" ref="F34">SUM(IF(CertFund&amp;CertProg&amp;CertObj&amp;CertGrant=RIGHT(LEFT($A$2,7),2)&amp;LEFT($A$33,4)&amp;$B$34&amp;F$3,CertSalary))</f>
        <v>0</v>
      </c>
      <c r="G34" s="528">
        <f t="array" ref="G34">SUM(IF(CertFund&amp;CertProg&amp;CertObj&amp;CertGrant=RIGHT(LEFT($A$2,7),2)&amp;LEFT($A$33,4)&amp;$B$34&amp;G$3,CertSalary))</f>
        <v>0</v>
      </c>
      <c r="H34" s="528">
        <f t="array" ref="H34">SUM(IF(CertFund&amp;CertProg&amp;CertObj&amp;CertGrant=RIGHT(LEFT($A$2,7),2)&amp;LEFT($A$33,4)&amp;$B$34&amp;H$3,CertSalary))</f>
        <v>0</v>
      </c>
      <c r="I34" s="528">
        <f t="array" ref="I34">SUM(IF(CertFund&amp;CertProg&amp;CertObj&amp;CertGrant=RIGHT(LEFT($A$2,7),2)&amp;LEFT($A$33,4)&amp;$B$34&amp;I$3,CertSalary))</f>
        <v>0</v>
      </c>
      <c r="J34" s="528">
        <f t="array" ref="J34">SUM(IF(CertFund&amp;CertProg&amp;CertObj&amp;CertGrant=RIGHT(LEFT($A$2,7),2)&amp;LEFT($A$33,4)&amp;$B$34&amp;J$3,CertSalary))</f>
        <v>0</v>
      </c>
      <c r="K34" s="528">
        <f t="array" ref="K34">SUM(IF(CertFund&amp;CertProg&amp;CertObj&amp;CertGrant=RIGHT(LEFT($A$2,7),2)&amp;LEFT($A$33,4)&amp;$B$34&amp;K$3,CertSalary))</f>
        <v>0</v>
      </c>
      <c r="L34" s="528">
        <f t="array" ref="L34">SUM(IF(CertFund&amp;CertProg&amp;CertObj&amp;CertGrant=RIGHT(LEFT($A$2,7),2)&amp;LEFT($A$33,4)&amp;$B$34&amp;L$3,CertSalary))</f>
        <v>0</v>
      </c>
      <c r="M34" s="528">
        <f t="array" ref="M34">SUM(IF(CertFund&amp;CertProg&amp;CertObj&amp;CertGrant=RIGHT(LEFT($A$2,7),2)&amp;LEFT($A$33,4)&amp;$B$34&amp;M$3,CertSalary))</f>
        <v>0</v>
      </c>
      <c r="N34" s="528">
        <f t="array" ref="N34">SUM(IF(CertFund&amp;CertProg&amp;CertObj&amp;CertGrant=RIGHT(LEFT($A$2,7),2)&amp;LEFT($A$33,4)&amp;$B$34&amp;N$3,CertSalary))</f>
        <v>0</v>
      </c>
      <c r="O34" s="528">
        <f t="array" ref="O34">SUM(IF(CertFund&amp;CertProg&amp;CertObj&amp;CertGrant=RIGHT(LEFT($A$2,7),2)&amp;LEFT($A$33,4)&amp;$B$34&amp;O$3,CertSalary))</f>
        <v>0</v>
      </c>
      <c r="P34" s="528">
        <f t="array" ref="P34">SUM(IF(CertFund&amp;CertProg&amp;CertObj&amp;CertGrant=RIGHT(LEFT($A$2,7),2)&amp;LEFT($A$33,4)&amp;$B$34&amp;P$3,CertSalary))</f>
        <v>0</v>
      </c>
      <c r="Q34" s="528">
        <f t="array" ref="Q34">SUM(IF(CertFund&amp;CertProg&amp;CertObj&amp;CertGrant=RIGHT(LEFT($A$2,7),2)&amp;LEFT($A$33,4)&amp;$B$34&amp;Q$3,CertSalary))</f>
        <v>0</v>
      </c>
      <c r="R34" s="528">
        <f t="array" ref="R34">SUM(IF(CertFund&amp;CertProg&amp;CertObj&amp;CertGrant=RIGHT(LEFT($A$2,7),2)&amp;LEFT($A$33,4)&amp;$B$34&amp;R$3,CertSalary))</f>
        <v>0</v>
      </c>
      <c r="S34" s="528">
        <f t="array" ref="S34">SUM(IF(CertFund&amp;CertProg&amp;CertObj&amp;CertGrant=RIGHT(LEFT($A$2,7),2)&amp;LEFT($A$33,4)&amp;$B$34&amp;S$3,CertSalary))</f>
        <v>0</v>
      </c>
      <c r="T34" s="528">
        <f t="array" ref="T34">SUM(IF(CertFund&amp;CertProg&amp;CertObj&amp;CertGrant=RIGHT(LEFT($A$2,7),2)&amp;LEFT($A$33,4)&amp;$B$34&amp;T$3,CertSalary))</f>
        <v>0</v>
      </c>
      <c r="U34" s="528">
        <f t="array" ref="U34">SUM(IF(CertFund&amp;CertProg&amp;CertObj&amp;CertGrant=RIGHT(LEFT($A$2,7),2)&amp;LEFT($A$33,4)&amp;$B$34&amp;U$3,CertSalary))</f>
        <v>0</v>
      </c>
      <c r="V34" s="528">
        <f t="array" ref="V34">SUM(IF(CertFund&amp;CertProg&amp;CertObj&amp;CertGrant=RIGHT(LEFT($A$2,7),2)&amp;LEFT($A$33,4)&amp;$B$34&amp;V$3,CertSalary))</f>
        <v>0</v>
      </c>
      <c r="W34" s="528">
        <f t="array" ref="W34">SUM(IF(CertFund&amp;CertProg&amp;CertObj&amp;CertGrant=RIGHT(LEFT($A$2,7),2)&amp;LEFT($A$33,4)&amp;$B$34&amp;W$3,CertSalary))</f>
        <v>0</v>
      </c>
      <c r="X34" s="347">
        <f t="shared" ref="X34:X42" si="6">SUM(D34:W34)</f>
        <v>0</v>
      </c>
    </row>
    <row r="35" spans="1:24" ht="11.25" x14ac:dyDescent="0.2">
      <c r="A35" s="340" t="s">
        <v>1437</v>
      </c>
      <c r="B35" s="588" t="s">
        <v>1577</v>
      </c>
      <c r="C35" s="312" t="s">
        <v>510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341">
        <f t="shared" si="6"/>
        <v>0</v>
      </c>
    </row>
    <row r="36" spans="1:24" ht="11.25" x14ac:dyDescent="0.2">
      <c r="A36" s="340">
        <v>6</v>
      </c>
      <c r="B36" s="588" t="s">
        <v>1578</v>
      </c>
      <c r="C36" s="312" t="s">
        <v>76</v>
      </c>
      <c r="D36" s="528">
        <f t="array" ref="D36">SUM(IF(CertFund&amp;CertProg&amp;CertObj&amp;CertGrant=RIGHT(LEFT($A$2,7),2)&amp;LEFT($A$33,4)&amp;$B$34&amp;D$3,CertBen))</f>
        <v>0</v>
      </c>
      <c r="E36" s="528">
        <f t="array" ref="E36">SUM(IF(CertFund&amp;CertProg&amp;CertObj&amp;CertGrant=RIGHT(LEFT($A$2,7),2)&amp;LEFT($A$33,4)&amp;$B$34&amp;E$3,CertBen))</f>
        <v>0</v>
      </c>
      <c r="F36" s="528">
        <f t="array" ref="F36">SUM(IF(CertFund&amp;CertProg&amp;CertObj&amp;CertGrant=RIGHT(LEFT($A$2,7),2)&amp;LEFT($A$33,4)&amp;$B$34&amp;F$3,CertBen))</f>
        <v>0</v>
      </c>
      <c r="G36" s="528">
        <f t="array" ref="G36">SUM(IF(CertFund&amp;CertProg&amp;CertObj&amp;CertGrant=RIGHT(LEFT($A$2,7),2)&amp;LEFT($A$33,4)&amp;$B$34&amp;G$3,CertBen))</f>
        <v>0</v>
      </c>
      <c r="H36" s="528">
        <f t="array" ref="H36">SUM(IF(CertFund&amp;CertProg&amp;CertObj&amp;CertGrant=RIGHT(LEFT($A$2,7),2)&amp;LEFT($A$33,4)&amp;$B$34&amp;H$3,CertBen))</f>
        <v>0</v>
      </c>
      <c r="I36" s="528">
        <f t="array" ref="I36">SUM(IF(CertFund&amp;CertProg&amp;CertObj&amp;CertGrant=RIGHT(LEFT($A$2,7),2)&amp;LEFT($A$33,4)&amp;$B$34&amp;I$3,CertBen))</f>
        <v>0</v>
      </c>
      <c r="J36" s="528">
        <f t="array" ref="J36">SUM(IF(CertFund&amp;CertProg&amp;CertObj&amp;CertGrant=RIGHT(LEFT($A$2,7),2)&amp;LEFT($A$33,4)&amp;$B$34&amp;J$3,CertBen))</f>
        <v>0</v>
      </c>
      <c r="K36" s="528">
        <f t="array" ref="K36">SUM(IF(CertFund&amp;CertProg&amp;CertObj&amp;CertGrant=RIGHT(LEFT($A$2,7),2)&amp;LEFT($A$33,4)&amp;$B$34&amp;K$3,CertBen))</f>
        <v>0</v>
      </c>
      <c r="L36" s="528">
        <f t="array" ref="L36">SUM(IF(CertFund&amp;CertProg&amp;CertObj&amp;CertGrant=RIGHT(LEFT($A$2,7),2)&amp;LEFT($A$33,4)&amp;$B$34&amp;L$3,CertBen))</f>
        <v>0</v>
      </c>
      <c r="M36" s="528">
        <f t="array" ref="M36">SUM(IF(CertFund&amp;CertProg&amp;CertObj&amp;CertGrant=RIGHT(LEFT($A$2,7),2)&amp;LEFT($A$33,4)&amp;$B$34&amp;M$3,CertBen))</f>
        <v>0</v>
      </c>
      <c r="N36" s="528">
        <f t="array" ref="N36">SUM(IF(CertFund&amp;CertProg&amp;CertObj&amp;CertGrant=RIGHT(LEFT($A$2,7),2)&amp;LEFT($A$33,4)&amp;$B$34&amp;N$3,CertBen))</f>
        <v>0</v>
      </c>
      <c r="O36" s="528">
        <f t="array" ref="O36">SUM(IF(CertFund&amp;CertProg&amp;CertObj&amp;CertGrant=RIGHT(LEFT($A$2,7),2)&amp;LEFT($A$33,4)&amp;$B$34&amp;O$3,CertBen))</f>
        <v>0</v>
      </c>
      <c r="P36" s="528">
        <f t="array" ref="P36">SUM(IF(CertFund&amp;CertProg&amp;CertObj&amp;CertGrant=RIGHT(LEFT($A$2,7),2)&amp;LEFT($A$33,4)&amp;$B$34&amp;P$3,CertBen))</f>
        <v>0</v>
      </c>
      <c r="Q36" s="528">
        <f t="array" ref="Q36">SUM(IF(CertFund&amp;CertProg&amp;CertObj&amp;CertGrant=RIGHT(LEFT($A$2,7),2)&amp;LEFT($A$33,4)&amp;$B$34&amp;Q$3,CertBen))</f>
        <v>0</v>
      </c>
      <c r="R36" s="528">
        <f t="array" ref="R36">SUM(IF(CertFund&amp;CertProg&amp;CertObj&amp;CertGrant=RIGHT(LEFT($A$2,7),2)&amp;LEFT($A$33,4)&amp;$B$34&amp;R$3,CertBen))</f>
        <v>0</v>
      </c>
      <c r="S36" s="528">
        <f t="array" ref="S36">SUM(IF(CertFund&amp;CertProg&amp;CertObj&amp;CertGrant=RIGHT(LEFT($A$2,7),2)&amp;LEFT($A$33,4)&amp;$B$34&amp;S$3,CertBen))</f>
        <v>0</v>
      </c>
      <c r="T36" s="528">
        <f t="array" ref="T36">SUM(IF(CertFund&amp;CertProg&amp;CertObj&amp;CertGrant=RIGHT(LEFT($A$2,7),2)&amp;LEFT($A$33,4)&amp;$B$34&amp;T$3,CertBen))</f>
        <v>0</v>
      </c>
      <c r="U36" s="528">
        <f t="array" ref="U36">SUM(IF(CertFund&amp;CertProg&amp;CertObj&amp;CertGrant=RIGHT(LEFT($A$2,7),2)&amp;LEFT($A$33,4)&amp;$B$34&amp;U$3,CertBen))</f>
        <v>0</v>
      </c>
      <c r="V36" s="528">
        <f t="array" ref="V36">SUM(IF(CertFund&amp;CertProg&amp;CertObj&amp;CertGrant=RIGHT(LEFT($A$2,7),2)&amp;LEFT($A$33,4)&amp;$B$34&amp;V$3,CertBen))</f>
        <v>0</v>
      </c>
      <c r="W36" s="528">
        <f t="array" ref="W36">SUM(IF(CertFund&amp;CertProg&amp;CertObj&amp;CertGrant=RIGHT(LEFT($A$2,7),2)&amp;LEFT($A$33,4)&amp;$B$34&amp;W$3,CertBen))</f>
        <v>0</v>
      </c>
      <c r="X36" s="341">
        <f t="shared" si="6"/>
        <v>0</v>
      </c>
    </row>
    <row r="37" spans="1:24" ht="11.25" x14ac:dyDescent="0.2">
      <c r="A37" s="340" t="s">
        <v>1438</v>
      </c>
      <c r="B37" s="588" t="s">
        <v>1578</v>
      </c>
      <c r="C37" s="312" t="s">
        <v>511</v>
      </c>
      <c r="D37" s="590">
        <v>0</v>
      </c>
      <c r="E37" s="590">
        <v>0</v>
      </c>
      <c r="F37" s="590">
        <v>0</v>
      </c>
      <c r="G37" s="590">
        <v>0</v>
      </c>
      <c r="H37" s="590">
        <v>0</v>
      </c>
      <c r="I37" s="590">
        <v>0</v>
      </c>
      <c r="J37" s="590">
        <v>0</v>
      </c>
      <c r="K37" s="590">
        <v>0</v>
      </c>
      <c r="L37" s="590">
        <v>0</v>
      </c>
      <c r="M37" s="590">
        <v>0</v>
      </c>
      <c r="N37" s="590">
        <v>0</v>
      </c>
      <c r="O37" s="590">
        <v>0</v>
      </c>
      <c r="P37" s="590">
        <v>0</v>
      </c>
      <c r="Q37" s="590">
        <v>0</v>
      </c>
      <c r="R37" s="590">
        <v>0</v>
      </c>
      <c r="S37" s="590">
        <v>0</v>
      </c>
      <c r="T37" s="590">
        <v>0</v>
      </c>
      <c r="U37" s="590">
        <v>0</v>
      </c>
      <c r="V37" s="590">
        <v>0</v>
      </c>
      <c r="W37" s="590">
        <v>0</v>
      </c>
      <c r="X37" s="341">
        <f t="shared" si="6"/>
        <v>0</v>
      </c>
    </row>
    <row r="38" spans="1:24" ht="11.25" x14ac:dyDescent="0.2">
      <c r="A38" s="340">
        <v>7</v>
      </c>
      <c r="B38" s="188" t="s">
        <v>1579</v>
      </c>
      <c r="C38" s="329" t="s">
        <v>273</v>
      </c>
      <c r="D38" s="590">
        <v>0</v>
      </c>
      <c r="E38" s="590">
        <v>0</v>
      </c>
      <c r="F38" s="590">
        <v>0</v>
      </c>
      <c r="G38" s="590">
        <v>0</v>
      </c>
      <c r="H38" s="590">
        <v>0</v>
      </c>
      <c r="I38" s="590">
        <v>0</v>
      </c>
      <c r="J38" s="590">
        <v>0</v>
      </c>
      <c r="K38" s="590">
        <v>0</v>
      </c>
      <c r="L38" s="591">
        <v>0</v>
      </c>
      <c r="M38" s="591">
        <v>0</v>
      </c>
      <c r="N38" s="591">
        <v>0</v>
      </c>
      <c r="O38" s="591">
        <v>0</v>
      </c>
      <c r="P38" s="591">
        <v>0</v>
      </c>
      <c r="Q38" s="591">
        <v>0</v>
      </c>
      <c r="R38" s="591">
        <v>0</v>
      </c>
      <c r="S38" s="591">
        <v>0</v>
      </c>
      <c r="T38" s="591">
        <v>0</v>
      </c>
      <c r="U38" s="591">
        <v>0</v>
      </c>
      <c r="V38" s="591">
        <v>0</v>
      </c>
      <c r="W38" s="591">
        <v>0</v>
      </c>
      <c r="X38" s="341">
        <f t="shared" si="6"/>
        <v>0</v>
      </c>
    </row>
    <row r="39" spans="1:24" ht="11.25" x14ac:dyDescent="0.2">
      <c r="A39" s="340">
        <v>8</v>
      </c>
      <c r="B39" s="188" t="s">
        <v>1581</v>
      </c>
      <c r="C39" s="329" t="s">
        <v>274</v>
      </c>
      <c r="D39" s="590">
        <v>0</v>
      </c>
      <c r="E39" s="590">
        <v>0</v>
      </c>
      <c r="F39" s="590">
        <v>0</v>
      </c>
      <c r="G39" s="590">
        <v>0</v>
      </c>
      <c r="H39" s="590">
        <v>0</v>
      </c>
      <c r="I39" s="590">
        <v>0</v>
      </c>
      <c r="J39" s="590">
        <v>0</v>
      </c>
      <c r="K39" s="590">
        <v>0</v>
      </c>
      <c r="L39" s="591">
        <v>0</v>
      </c>
      <c r="M39" s="591">
        <v>0</v>
      </c>
      <c r="N39" s="591">
        <v>0</v>
      </c>
      <c r="O39" s="591">
        <v>0</v>
      </c>
      <c r="P39" s="591">
        <v>0</v>
      </c>
      <c r="Q39" s="591">
        <v>0</v>
      </c>
      <c r="R39" s="591">
        <v>0</v>
      </c>
      <c r="S39" s="591">
        <v>0</v>
      </c>
      <c r="T39" s="591">
        <v>0</v>
      </c>
      <c r="U39" s="591">
        <v>0</v>
      </c>
      <c r="V39" s="591">
        <v>0</v>
      </c>
      <c r="W39" s="591">
        <v>0</v>
      </c>
      <c r="X39" s="341">
        <f t="shared" si="6"/>
        <v>0</v>
      </c>
    </row>
    <row r="40" spans="1:24" ht="11.25" x14ac:dyDescent="0.2">
      <c r="A40" s="340">
        <v>9</v>
      </c>
      <c r="B40" s="188" t="s">
        <v>1582</v>
      </c>
      <c r="C40" s="329" t="s">
        <v>275</v>
      </c>
      <c r="D40" s="590">
        <v>0</v>
      </c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0</v>
      </c>
      <c r="K40" s="590">
        <v>0</v>
      </c>
      <c r="L40" s="591">
        <v>0</v>
      </c>
      <c r="M40" s="591">
        <v>0</v>
      </c>
      <c r="N40" s="591">
        <v>0</v>
      </c>
      <c r="O40" s="591">
        <v>0</v>
      </c>
      <c r="P40" s="591">
        <v>0</v>
      </c>
      <c r="Q40" s="591">
        <v>0</v>
      </c>
      <c r="R40" s="591">
        <v>0</v>
      </c>
      <c r="S40" s="591">
        <v>0</v>
      </c>
      <c r="T40" s="591">
        <v>0</v>
      </c>
      <c r="U40" s="591">
        <v>0</v>
      </c>
      <c r="V40" s="591">
        <v>0</v>
      </c>
      <c r="W40" s="591">
        <v>0</v>
      </c>
      <c r="X40" s="341">
        <f t="shared" si="6"/>
        <v>0</v>
      </c>
    </row>
    <row r="41" spans="1:24" ht="11.25" x14ac:dyDescent="0.2">
      <c r="A41" s="350">
        <v>10</v>
      </c>
      <c r="B41" s="188" t="s">
        <v>1584</v>
      </c>
      <c r="C41" s="327" t="s">
        <v>276</v>
      </c>
      <c r="D41" s="590">
        <v>0</v>
      </c>
      <c r="E41" s="590">
        <v>0</v>
      </c>
      <c r="F41" s="590">
        <v>0</v>
      </c>
      <c r="G41" s="590">
        <v>0</v>
      </c>
      <c r="H41" s="590">
        <v>0</v>
      </c>
      <c r="I41" s="590">
        <v>0</v>
      </c>
      <c r="J41" s="590">
        <v>0</v>
      </c>
      <c r="K41" s="590">
        <v>0</v>
      </c>
      <c r="L41" s="591">
        <v>0</v>
      </c>
      <c r="M41" s="591">
        <v>0</v>
      </c>
      <c r="N41" s="591">
        <v>0</v>
      </c>
      <c r="O41" s="591">
        <v>0</v>
      </c>
      <c r="P41" s="591">
        <v>0</v>
      </c>
      <c r="Q41" s="591">
        <v>0</v>
      </c>
      <c r="R41" s="591">
        <v>0</v>
      </c>
      <c r="S41" s="591">
        <v>0</v>
      </c>
      <c r="T41" s="591">
        <v>0</v>
      </c>
      <c r="U41" s="591">
        <v>0</v>
      </c>
      <c r="V41" s="591">
        <v>0</v>
      </c>
      <c r="W41" s="591">
        <v>0</v>
      </c>
      <c r="X41" s="341">
        <f t="shared" si="6"/>
        <v>0</v>
      </c>
    </row>
    <row r="42" spans="1:24" ht="11.25" x14ac:dyDescent="0.2">
      <c r="A42" s="340">
        <v>11</v>
      </c>
      <c r="C42" s="346" t="s">
        <v>1628</v>
      </c>
      <c r="D42" s="347">
        <f>SUM(D34:D41)</f>
        <v>0</v>
      </c>
      <c r="E42" s="347">
        <f t="shared" ref="E42:W42" si="7">SUM(E34:E41)</f>
        <v>0</v>
      </c>
      <c r="F42" s="347">
        <f t="shared" si="7"/>
        <v>0</v>
      </c>
      <c r="G42" s="347">
        <f t="shared" si="7"/>
        <v>0</v>
      </c>
      <c r="H42" s="347">
        <f t="shared" si="7"/>
        <v>0</v>
      </c>
      <c r="I42" s="347">
        <f t="shared" si="7"/>
        <v>0</v>
      </c>
      <c r="J42" s="347">
        <f t="shared" si="7"/>
        <v>0</v>
      </c>
      <c r="K42" s="347">
        <f t="shared" si="7"/>
        <v>0</v>
      </c>
      <c r="L42" s="347">
        <f t="shared" si="7"/>
        <v>0</v>
      </c>
      <c r="M42" s="347">
        <f t="shared" si="7"/>
        <v>0</v>
      </c>
      <c r="N42" s="347">
        <f t="shared" si="7"/>
        <v>0</v>
      </c>
      <c r="O42" s="347">
        <f t="shared" si="7"/>
        <v>0</v>
      </c>
      <c r="P42" s="347">
        <f t="shared" si="7"/>
        <v>0</v>
      </c>
      <c r="Q42" s="347">
        <f t="shared" si="7"/>
        <v>0</v>
      </c>
      <c r="R42" s="347">
        <f t="shared" si="7"/>
        <v>0</v>
      </c>
      <c r="S42" s="347">
        <f t="shared" si="7"/>
        <v>0</v>
      </c>
      <c r="T42" s="347">
        <f t="shared" si="7"/>
        <v>0</v>
      </c>
      <c r="U42" s="347">
        <f t="shared" si="7"/>
        <v>0</v>
      </c>
      <c r="V42" s="347">
        <f t="shared" si="7"/>
        <v>0</v>
      </c>
      <c r="W42" s="347">
        <f t="shared" si="7"/>
        <v>0</v>
      </c>
      <c r="X42" s="341">
        <f t="shared" si="6"/>
        <v>0</v>
      </c>
    </row>
    <row r="43" spans="1:24" ht="11.25" x14ac:dyDescent="0.2">
      <c r="A43" s="371" t="s">
        <v>1434</v>
      </c>
      <c r="B43" s="369"/>
      <c r="C43" s="348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</row>
    <row r="44" spans="1:24" ht="11.25" x14ac:dyDescent="0.2">
      <c r="A44" s="340">
        <v>5</v>
      </c>
      <c r="B44" s="588" t="s">
        <v>1577</v>
      </c>
      <c r="C44" s="312" t="s">
        <v>228</v>
      </c>
      <c r="D44" s="528">
        <f t="array" ref="D44">SUM(IF(CertFund&amp;CertProg&amp;CertObj&amp;CertGrant=RIGHT(LEFT($A$2,7),2)&amp;LEFT($A$43,4)&amp;$B$44&amp;D$3,CertSalary))</f>
        <v>0</v>
      </c>
      <c r="E44" s="528">
        <f t="array" ref="E44">SUM(IF(CertFund&amp;CertProg&amp;CertObj&amp;CertGrant=RIGHT(LEFT($A$2,7),2)&amp;LEFT($A$43,4)&amp;$B$44&amp;E$3,CertSalary))</f>
        <v>0</v>
      </c>
      <c r="F44" s="528">
        <f t="array" ref="F44">SUM(IF(CertFund&amp;CertProg&amp;CertObj&amp;CertGrant=RIGHT(LEFT($A$2,7),2)&amp;LEFT($A$43,4)&amp;$B$44&amp;F$3,CertSalary))</f>
        <v>0</v>
      </c>
      <c r="G44" s="528">
        <f t="array" ref="G44">SUM(IF(CertFund&amp;CertProg&amp;CertObj&amp;CertGrant=RIGHT(LEFT($A$2,7),2)&amp;LEFT($A$43,4)&amp;$B$44&amp;G$3,CertSalary))</f>
        <v>0</v>
      </c>
      <c r="H44" s="528">
        <f t="array" ref="H44">SUM(IF(CertFund&amp;CertProg&amp;CertObj&amp;CertGrant=RIGHT(LEFT($A$2,7),2)&amp;LEFT($A$43,4)&amp;$B$44&amp;H$3,CertSalary))</f>
        <v>0</v>
      </c>
      <c r="I44" s="528">
        <f t="array" ref="I44">SUM(IF(CertFund&amp;CertProg&amp;CertObj&amp;CertGrant=RIGHT(LEFT($A$2,7),2)&amp;LEFT($A$43,4)&amp;$B$44&amp;I$3,CertSalary))</f>
        <v>0</v>
      </c>
      <c r="J44" s="528">
        <f t="array" ref="J44">SUM(IF(CertFund&amp;CertProg&amp;CertObj&amp;CertGrant=RIGHT(LEFT($A$2,7),2)&amp;LEFT($A$43,4)&amp;$B$44&amp;J$3,CertSalary))</f>
        <v>0</v>
      </c>
      <c r="K44" s="528">
        <f t="array" ref="K44">SUM(IF(CertFund&amp;CertProg&amp;CertObj&amp;CertGrant=RIGHT(LEFT($A$2,7),2)&amp;LEFT($A$43,4)&amp;$B$44&amp;K$3,CertSalary))</f>
        <v>0</v>
      </c>
      <c r="L44" s="528">
        <f t="array" ref="L44">SUM(IF(CertFund&amp;CertProg&amp;CertObj&amp;CertGrant=RIGHT(LEFT($A$2,7),2)&amp;LEFT($A$43,4)&amp;$B$44&amp;L$3,CertSalary))</f>
        <v>0</v>
      </c>
      <c r="M44" s="528">
        <f t="array" ref="M44">SUM(IF(CertFund&amp;CertProg&amp;CertObj&amp;CertGrant=RIGHT(LEFT($A$2,7),2)&amp;LEFT($A$43,4)&amp;$B$44&amp;M$3,CertSalary))</f>
        <v>0</v>
      </c>
      <c r="N44" s="528">
        <f t="array" ref="N44">SUM(IF(CertFund&amp;CertProg&amp;CertObj&amp;CertGrant=RIGHT(LEFT($A$2,7),2)&amp;LEFT($A$43,4)&amp;$B$44&amp;N$3,CertSalary))</f>
        <v>0</v>
      </c>
      <c r="O44" s="528">
        <f t="array" ref="O44">SUM(IF(CertFund&amp;CertProg&amp;CertObj&amp;CertGrant=RIGHT(LEFT($A$2,7),2)&amp;LEFT($A$43,4)&amp;$B$44&amp;O$3,CertSalary))</f>
        <v>0</v>
      </c>
      <c r="P44" s="528">
        <f t="array" ref="P44">SUM(IF(CertFund&amp;CertProg&amp;CertObj&amp;CertGrant=RIGHT(LEFT($A$2,7),2)&amp;LEFT($A$43,4)&amp;$B$44&amp;P$3,CertSalary))</f>
        <v>0</v>
      </c>
      <c r="Q44" s="528">
        <f t="array" ref="Q44">SUM(IF(CertFund&amp;CertProg&amp;CertObj&amp;CertGrant=RIGHT(LEFT($A$2,7),2)&amp;LEFT($A$43,4)&amp;$B$44&amp;Q$3,CertSalary))</f>
        <v>0</v>
      </c>
      <c r="R44" s="528">
        <f t="array" ref="R44">SUM(IF(CertFund&amp;CertProg&amp;CertObj&amp;CertGrant=RIGHT(LEFT($A$2,7),2)&amp;LEFT($A$43,4)&amp;$B$44&amp;R$3,CertSalary))</f>
        <v>0</v>
      </c>
      <c r="S44" s="528">
        <f t="array" ref="S44">SUM(IF(CertFund&amp;CertProg&amp;CertObj&amp;CertGrant=RIGHT(LEFT($A$2,7),2)&amp;LEFT($A$43,4)&amp;$B$44&amp;S$3,CertSalary))</f>
        <v>0</v>
      </c>
      <c r="T44" s="528">
        <f t="array" ref="T44">SUM(IF(CertFund&amp;CertProg&amp;CertObj&amp;CertGrant=RIGHT(LEFT($A$2,7),2)&amp;LEFT($A$43,4)&amp;$B$44&amp;T$3,CertSalary))</f>
        <v>0</v>
      </c>
      <c r="U44" s="528">
        <f t="array" ref="U44">SUM(IF(CertFund&amp;CertProg&amp;CertObj&amp;CertGrant=RIGHT(LEFT($A$2,7),2)&amp;LEFT($A$43,4)&amp;$B$44&amp;U$3,CertSalary))</f>
        <v>0</v>
      </c>
      <c r="V44" s="528">
        <f t="array" ref="V44">SUM(IF(CertFund&amp;CertProg&amp;CertObj&amp;CertGrant=RIGHT(LEFT($A$2,7),2)&amp;LEFT($A$43,4)&amp;$B$44&amp;V$3,CertSalary))</f>
        <v>0</v>
      </c>
      <c r="W44" s="528">
        <f t="array" ref="W44">SUM(IF(CertFund&amp;CertProg&amp;CertObj&amp;CertGrant=RIGHT(LEFT($A$2,7),2)&amp;LEFT($A$43,4)&amp;$B$44&amp;W$3,CertSalary))</f>
        <v>0</v>
      </c>
      <c r="X44" s="347">
        <f t="shared" ref="X44:X52" si="8">SUM(D44:W44)</f>
        <v>0</v>
      </c>
    </row>
    <row r="45" spans="1:24" ht="11.25" x14ac:dyDescent="0.2">
      <c r="A45" s="340" t="s">
        <v>1437</v>
      </c>
      <c r="B45" s="588" t="s">
        <v>1577</v>
      </c>
      <c r="C45" s="312" t="s">
        <v>510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341">
        <f t="shared" si="8"/>
        <v>0</v>
      </c>
    </row>
    <row r="46" spans="1:24" ht="11.25" x14ac:dyDescent="0.2">
      <c r="A46" s="340">
        <v>6</v>
      </c>
      <c r="B46" s="588" t="s">
        <v>1578</v>
      </c>
      <c r="C46" s="312" t="s">
        <v>76</v>
      </c>
      <c r="D46" s="528">
        <f t="array" ref="D46">SUM(IF(CertFund&amp;CertProg&amp;CertObj&amp;CertGrant=RIGHT(LEFT($A$2,7),2)&amp;LEFT($A$43,4)&amp;$B$44&amp;D$3,CertBen))</f>
        <v>0</v>
      </c>
      <c r="E46" s="528">
        <f t="array" ref="E46">SUM(IF(CertFund&amp;CertProg&amp;CertObj&amp;CertGrant=RIGHT(LEFT($A$2,7),2)&amp;LEFT($A$43,4)&amp;$B$44&amp;E$3,CertBen))</f>
        <v>0</v>
      </c>
      <c r="F46" s="528">
        <f t="array" ref="F46">SUM(IF(CertFund&amp;CertProg&amp;CertObj&amp;CertGrant=RIGHT(LEFT($A$2,7),2)&amp;LEFT($A$43,4)&amp;$B$44&amp;F$3,CertBen))</f>
        <v>0</v>
      </c>
      <c r="G46" s="528">
        <f t="array" ref="G46">SUM(IF(CertFund&amp;CertProg&amp;CertObj&amp;CertGrant=RIGHT(LEFT($A$2,7),2)&amp;LEFT($A$43,4)&amp;$B$44&amp;G$3,CertBen))</f>
        <v>0</v>
      </c>
      <c r="H46" s="528">
        <f t="array" ref="H46">SUM(IF(CertFund&amp;CertProg&amp;CertObj&amp;CertGrant=RIGHT(LEFT($A$2,7),2)&amp;LEFT($A$43,4)&amp;$B$44&amp;H$3,CertBen))</f>
        <v>0</v>
      </c>
      <c r="I46" s="528">
        <f t="array" ref="I46">SUM(IF(CertFund&amp;CertProg&amp;CertObj&amp;CertGrant=RIGHT(LEFT($A$2,7),2)&amp;LEFT($A$43,4)&amp;$B$44&amp;I$3,CertBen))</f>
        <v>0</v>
      </c>
      <c r="J46" s="528">
        <f t="array" ref="J46">SUM(IF(CertFund&amp;CertProg&amp;CertObj&amp;CertGrant=RIGHT(LEFT($A$2,7),2)&amp;LEFT($A$43,4)&amp;$B$44&amp;J$3,CertBen))</f>
        <v>0</v>
      </c>
      <c r="K46" s="528">
        <f t="array" ref="K46">SUM(IF(CertFund&amp;CertProg&amp;CertObj&amp;CertGrant=RIGHT(LEFT($A$2,7),2)&amp;LEFT($A$43,4)&amp;$B$44&amp;K$3,CertBen))</f>
        <v>0</v>
      </c>
      <c r="L46" s="528">
        <f t="array" ref="L46">SUM(IF(CertFund&amp;CertProg&amp;CertObj&amp;CertGrant=RIGHT(LEFT($A$2,7),2)&amp;LEFT($A$43,4)&amp;$B$44&amp;L$3,CertBen))</f>
        <v>0</v>
      </c>
      <c r="M46" s="528">
        <f t="array" ref="M46">SUM(IF(CertFund&amp;CertProg&amp;CertObj&amp;CertGrant=RIGHT(LEFT($A$2,7),2)&amp;LEFT($A$43,4)&amp;$B$44&amp;M$3,CertBen))</f>
        <v>0</v>
      </c>
      <c r="N46" s="528">
        <f t="array" ref="N46">SUM(IF(CertFund&amp;CertProg&amp;CertObj&amp;CertGrant=RIGHT(LEFT($A$2,7),2)&amp;LEFT($A$43,4)&amp;$B$44&amp;N$3,CertBen))</f>
        <v>0</v>
      </c>
      <c r="O46" s="528">
        <f t="array" ref="O46">SUM(IF(CertFund&amp;CertProg&amp;CertObj&amp;CertGrant=RIGHT(LEFT($A$2,7),2)&amp;LEFT($A$43,4)&amp;$B$44&amp;O$3,CertBen))</f>
        <v>0</v>
      </c>
      <c r="P46" s="528">
        <f t="array" ref="P46">SUM(IF(CertFund&amp;CertProg&amp;CertObj&amp;CertGrant=RIGHT(LEFT($A$2,7),2)&amp;LEFT($A$43,4)&amp;$B$44&amp;P$3,CertBen))</f>
        <v>0</v>
      </c>
      <c r="Q46" s="528">
        <f t="array" ref="Q46">SUM(IF(CertFund&amp;CertProg&amp;CertObj&amp;CertGrant=RIGHT(LEFT($A$2,7),2)&amp;LEFT($A$43,4)&amp;$B$44&amp;Q$3,CertBen))</f>
        <v>0</v>
      </c>
      <c r="R46" s="528">
        <f t="array" ref="R46">SUM(IF(CertFund&amp;CertProg&amp;CertObj&amp;CertGrant=RIGHT(LEFT($A$2,7),2)&amp;LEFT($A$43,4)&amp;$B$44&amp;R$3,CertBen))</f>
        <v>0</v>
      </c>
      <c r="S46" s="528">
        <f t="array" ref="S46">SUM(IF(CertFund&amp;CertProg&amp;CertObj&amp;CertGrant=RIGHT(LEFT($A$2,7),2)&amp;LEFT($A$43,4)&amp;$B$44&amp;S$3,CertBen))</f>
        <v>0</v>
      </c>
      <c r="T46" s="528">
        <f t="array" ref="T46">SUM(IF(CertFund&amp;CertProg&amp;CertObj&amp;CertGrant=RIGHT(LEFT($A$2,7),2)&amp;LEFT($A$43,4)&amp;$B$44&amp;T$3,CertBen))</f>
        <v>0</v>
      </c>
      <c r="U46" s="528">
        <f t="array" ref="U46">SUM(IF(CertFund&amp;CertProg&amp;CertObj&amp;CertGrant=RIGHT(LEFT($A$2,7),2)&amp;LEFT($A$43,4)&amp;$B$44&amp;U$3,CertBen))</f>
        <v>0</v>
      </c>
      <c r="V46" s="528">
        <f t="array" ref="V46">SUM(IF(CertFund&amp;CertProg&amp;CertObj&amp;CertGrant=RIGHT(LEFT($A$2,7),2)&amp;LEFT($A$43,4)&amp;$B$44&amp;V$3,CertBen))</f>
        <v>0</v>
      </c>
      <c r="W46" s="528">
        <f t="array" ref="W46">SUM(IF(CertFund&amp;CertProg&amp;CertObj&amp;CertGrant=RIGHT(LEFT($A$2,7),2)&amp;LEFT($A$43,4)&amp;$B$44&amp;W$3,CertBen))</f>
        <v>0</v>
      </c>
      <c r="X46" s="341">
        <f t="shared" si="8"/>
        <v>0</v>
      </c>
    </row>
    <row r="47" spans="1:24" ht="11.25" x14ac:dyDescent="0.2">
      <c r="A47" s="340" t="s">
        <v>1438</v>
      </c>
      <c r="B47" s="588" t="s">
        <v>1578</v>
      </c>
      <c r="C47" s="312" t="s">
        <v>511</v>
      </c>
      <c r="D47" s="590">
        <v>0</v>
      </c>
      <c r="E47" s="590">
        <v>0</v>
      </c>
      <c r="F47" s="590">
        <v>0</v>
      </c>
      <c r="G47" s="590">
        <v>0</v>
      </c>
      <c r="H47" s="590">
        <v>0</v>
      </c>
      <c r="I47" s="590">
        <v>0</v>
      </c>
      <c r="J47" s="590">
        <v>0</v>
      </c>
      <c r="K47" s="590">
        <v>0</v>
      </c>
      <c r="L47" s="590">
        <v>0</v>
      </c>
      <c r="M47" s="590">
        <v>0</v>
      </c>
      <c r="N47" s="590">
        <v>0</v>
      </c>
      <c r="O47" s="590">
        <v>0</v>
      </c>
      <c r="P47" s="590">
        <v>0</v>
      </c>
      <c r="Q47" s="590">
        <v>0</v>
      </c>
      <c r="R47" s="590">
        <v>0</v>
      </c>
      <c r="S47" s="590">
        <v>0</v>
      </c>
      <c r="T47" s="590">
        <v>0</v>
      </c>
      <c r="U47" s="590">
        <v>0</v>
      </c>
      <c r="V47" s="590">
        <v>0</v>
      </c>
      <c r="W47" s="590">
        <v>0</v>
      </c>
      <c r="X47" s="341">
        <f t="shared" si="8"/>
        <v>0</v>
      </c>
    </row>
    <row r="48" spans="1:24" ht="11.25" x14ac:dyDescent="0.2">
      <c r="A48" s="340">
        <v>7</v>
      </c>
      <c r="B48" s="188" t="s">
        <v>1579</v>
      </c>
      <c r="C48" s="329" t="s">
        <v>273</v>
      </c>
      <c r="D48" s="590">
        <v>0</v>
      </c>
      <c r="E48" s="590">
        <v>0</v>
      </c>
      <c r="F48" s="590">
        <v>0</v>
      </c>
      <c r="G48" s="590">
        <v>0</v>
      </c>
      <c r="H48" s="590">
        <v>0</v>
      </c>
      <c r="I48" s="590">
        <v>0</v>
      </c>
      <c r="J48" s="590">
        <v>0</v>
      </c>
      <c r="K48" s="590">
        <v>0</v>
      </c>
      <c r="L48" s="591">
        <v>0</v>
      </c>
      <c r="M48" s="591">
        <v>0</v>
      </c>
      <c r="N48" s="591">
        <v>0</v>
      </c>
      <c r="O48" s="591">
        <v>0</v>
      </c>
      <c r="P48" s="591">
        <v>0</v>
      </c>
      <c r="Q48" s="591">
        <v>0</v>
      </c>
      <c r="R48" s="591">
        <v>0</v>
      </c>
      <c r="S48" s="591">
        <v>0</v>
      </c>
      <c r="T48" s="591">
        <v>0</v>
      </c>
      <c r="U48" s="591">
        <v>0</v>
      </c>
      <c r="V48" s="591">
        <v>0</v>
      </c>
      <c r="W48" s="591">
        <v>0</v>
      </c>
      <c r="X48" s="341">
        <f t="shared" si="8"/>
        <v>0</v>
      </c>
    </row>
    <row r="49" spans="1:24" ht="11.25" x14ac:dyDescent="0.2">
      <c r="A49" s="340">
        <v>8</v>
      </c>
      <c r="B49" s="188" t="s">
        <v>1581</v>
      </c>
      <c r="C49" s="329" t="s">
        <v>274</v>
      </c>
      <c r="D49" s="590">
        <v>0</v>
      </c>
      <c r="E49" s="590">
        <v>0</v>
      </c>
      <c r="F49" s="590">
        <v>0</v>
      </c>
      <c r="G49" s="590">
        <v>0</v>
      </c>
      <c r="H49" s="590">
        <v>0</v>
      </c>
      <c r="I49" s="590">
        <v>0</v>
      </c>
      <c r="J49" s="590">
        <v>0</v>
      </c>
      <c r="K49" s="590">
        <v>0</v>
      </c>
      <c r="L49" s="591">
        <v>0</v>
      </c>
      <c r="M49" s="591">
        <v>0</v>
      </c>
      <c r="N49" s="591">
        <v>0</v>
      </c>
      <c r="O49" s="591">
        <v>0</v>
      </c>
      <c r="P49" s="591">
        <v>0</v>
      </c>
      <c r="Q49" s="591">
        <v>0</v>
      </c>
      <c r="R49" s="591">
        <v>0</v>
      </c>
      <c r="S49" s="591">
        <v>0</v>
      </c>
      <c r="T49" s="591">
        <v>0</v>
      </c>
      <c r="U49" s="591">
        <v>0</v>
      </c>
      <c r="V49" s="591">
        <v>0</v>
      </c>
      <c r="W49" s="591">
        <v>0</v>
      </c>
      <c r="X49" s="341">
        <f t="shared" si="8"/>
        <v>0</v>
      </c>
    </row>
    <row r="50" spans="1:24" ht="11.25" x14ac:dyDescent="0.2">
      <c r="A50" s="340">
        <v>9</v>
      </c>
      <c r="B50" s="188" t="s">
        <v>1582</v>
      </c>
      <c r="C50" s="329" t="s">
        <v>275</v>
      </c>
      <c r="D50" s="590">
        <v>0</v>
      </c>
      <c r="E50" s="590">
        <v>0</v>
      </c>
      <c r="F50" s="590">
        <v>0</v>
      </c>
      <c r="G50" s="590">
        <v>0</v>
      </c>
      <c r="H50" s="590">
        <v>0</v>
      </c>
      <c r="I50" s="590">
        <v>0</v>
      </c>
      <c r="J50" s="590">
        <v>0</v>
      </c>
      <c r="K50" s="590">
        <v>0</v>
      </c>
      <c r="L50" s="591">
        <v>0</v>
      </c>
      <c r="M50" s="591">
        <v>0</v>
      </c>
      <c r="N50" s="591">
        <v>0</v>
      </c>
      <c r="O50" s="591">
        <v>0</v>
      </c>
      <c r="P50" s="591">
        <v>0</v>
      </c>
      <c r="Q50" s="591">
        <v>0</v>
      </c>
      <c r="R50" s="591">
        <v>0</v>
      </c>
      <c r="S50" s="591">
        <v>0</v>
      </c>
      <c r="T50" s="591">
        <v>0</v>
      </c>
      <c r="U50" s="591">
        <v>0</v>
      </c>
      <c r="V50" s="591">
        <v>0</v>
      </c>
      <c r="W50" s="591">
        <v>0</v>
      </c>
      <c r="X50" s="341">
        <f t="shared" si="8"/>
        <v>0</v>
      </c>
    </row>
    <row r="51" spans="1:24" ht="11.25" x14ac:dyDescent="0.2">
      <c r="A51" s="350">
        <v>10</v>
      </c>
      <c r="B51" s="188" t="s">
        <v>1584</v>
      </c>
      <c r="C51" s="327" t="s">
        <v>276</v>
      </c>
      <c r="D51" s="590">
        <v>0</v>
      </c>
      <c r="E51" s="590">
        <v>0</v>
      </c>
      <c r="F51" s="590">
        <v>0</v>
      </c>
      <c r="G51" s="590">
        <v>0</v>
      </c>
      <c r="H51" s="590">
        <v>0</v>
      </c>
      <c r="I51" s="590">
        <v>0</v>
      </c>
      <c r="J51" s="590">
        <v>0</v>
      </c>
      <c r="K51" s="590">
        <v>0</v>
      </c>
      <c r="L51" s="591">
        <v>0</v>
      </c>
      <c r="M51" s="591">
        <v>0</v>
      </c>
      <c r="N51" s="591">
        <v>0</v>
      </c>
      <c r="O51" s="591">
        <v>0</v>
      </c>
      <c r="P51" s="591">
        <v>0</v>
      </c>
      <c r="Q51" s="591">
        <v>0</v>
      </c>
      <c r="R51" s="591">
        <v>0</v>
      </c>
      <c r="S51" s="591">
        <v>0</v>
      </c>
      <c r="T51" s="591">
        <v>0</v>
      </c>
      <c r="U51" s="591">
        <v>0</v>
      </c>
      <c r="V51" s="591">
        <v>0</v>
      </c>
      <c r="W51" s="591">
        <v>0</v>
      </c>
      <c r="X51" s="341">
        <f t="shared" si="8"/>
        <v>0</v>
      </c>
    </row>
    <row r="52" spans="1:24" ht="11.25" x14ac:dyDescent="0.2">
      <c r="A52" s="340">
        <v>11</v>
      </c>
      <c r="C52" s="346" t="s">
        <v>1629</v>
      </c>
      <c r="D52" s="347">
        <f>SUM(D44:D51)</f>
        <v>0</v>
      </c>
      <c r="E52" s="347">
        <f t="shared" ref="E52:W52" si="9">SUM(E44:E51)</f>
        <v>0</v>
      </c>
      <c r="F52" s="347">
        <f t="shared" si="9"/>
        <v>0</v>
      </c>
      <c r="G52" s="347">
        <f t="shared" si="9"/>
        <v>0</v>
      </c>
      <c r="H52" s="347">
        <f t="shared" si="9"/>
        <v>0</v>
      </c>
      <c r="I52" s="347">
        <f t="shared" si="9"/>
        <v>0</v>
      </c>
      <c r="J52" s="347">
        <f t="shared" si="9"/>
        <v>0</v>
      </c>
      <c r="K52" s="347">
        <f t="shared" si="9"/>
        <v>0</v>
      </c>
      <c r="L52" s="347">
        <f t="shared" si="9"/>
        <v>0</v>
      </c>
      <c r="M52" s="347">
        <f t="shared" si="9"/>
        <v>0</v>
      </c>
      <c r="N52" s="347">
        <f t="shared" si="9"/>
        <v>0</v>
      </c>
      <c r="O52" s="347">
        <f t="shared" si="9"/>
        <v>0</v>
      </c>
      <c r="P52" s="347">
        <f t="shared" si="9"/>
        <v>0</v>
      </c>
      <c r="Q52" s="347">
        <f t="shared" si="9"/>
        <v>0</v>
      </c>
      <c r="R52" s="347">
        <f t="shared" si="9"/>
        <v>0</v>
      </c>
      <c r="S52" s="347">
        <f t="shared" si="9"/>
        <v>0</v>
      </c>
      <c r="T52" s="347">
        <f t="shared" si="9"/>
        <v>0</v>
      </c>
      <c r="U52" s="347">
        <f t="shared" si="9"/>
        <v>0</v>
      </c>
      <c r="V52" s="347">
        <f t="shared" si="9"/>
        <v>0</v>
      </c>
      <c r="W52" s="347">
        <f t="shared" si="9"/>
        <v>0</v>
      </c>
      <c r="X52" s="341">
        <f t="shared" si="8"/>
        <v>0</v>
      </c>
    </row>
    <row r="53" spans="1:24" ht="11.25" x14ac:dyDescent="0.2">
      <c r="A53" s="371" t="s">
        <v>1096</v>
      </c>
      <c r="B53" s="369"/>
      <c r="C53" s="348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</row>
    <row r="54" spans="1:24" ht="11.25" x14ac:dyDescent="0.2">
      <c r="A54" s="340">
        <v>5</v>
      </c>
      <c r="B54" s="588" t="s">
        <v>1577</v>
      </c>
      <c r="C54" s="312" t="s">
        <v>228</v>
      </c>
      <c r="D54" s="528">
        <f t="array" ref="D54">SUM(IF(CertFund&amp;CertProg&amp;CertObj&amp;CertGrant=RIGHT(LEFT($A$2,7),2)&amp;LEFT($A$53,4)&amp;$B$54&amp;D$3,CertSalary))</f>
        <v>0</v>
      </c>
      <c r="E54" s="528">
        <f t="array" ref="E54">SUM(IF(CertFund&amp;CertProg&amp;CertObj&amp;CertGrant=RIGHT(LEFT($A$2,7),2)&amp;LEFT($A$53,4)&amp;$B$54&amp;E$3,CertSalary))</f>
        <v>0</v>
      </c>
      <c r="F54" s="528">
        <f t="array" ref="F54">SUM(IF(CertFund&amp;CertProg&amp;CertObj&amp;CertGrant=RIGHT(LEFT($A$2,7),2)&amp;LEFT($A$53,4)&amp;$B$54&amp;F$3,CertSalary))</f>
        <v>0</v>
      </c>
      <c r="G54" s="528">
        <f t="array" ref="G54">SUM(IF(CertFund&amp;CertProg&amp;CertObj&amp;CertGrant=RIGHT(LEFT($A$2,7),2)&amp;LEFT($A$53,4)&amp;$B$54&amp;G$3,CertSalary))</f>
        <v>0</v>
      </c>
      <c r="H54" s="528">
        <f t="array" ref="H54">SUM(IF(CertFund&amp;CertProg&amp;CertObj&amp;CertGrant=RIGHT(LEFT($A$2,7),2)&amp;LEFT($A$53,4)&amp;$B$54&amp;H$3,CertSalary))</f>
        <v>0</v>
      </c>
      <c r="I54" s="528">
        <f t="array" ref="I54">SUM(IF(CertFund&amp;CertProg&amp;CertObj&amp;CertGrant=RIGHT(LEFT($A$2,7),2)&amp;LEFT($A$53,4)&amp;$B$54&amp;I$3,CertSalary))</f>
        <v>0</v>
      </c>
      <c r="J54" s="528">
        <f t="array" ref="J54">SUM(IF(CertFund&amp;CertProg&amp;CertObj&amp;CertGrant=RIGHT(LEFT($A$2,7),2)&amp;LEFT($A$53,4)&amp;$B$54&amp;J$3,CertSalary))</f>
        <v>0</v>
      </c>
      <c r="K54" s="528">
        <f t="array" ref="K54">SUM(IF(CertFund&amp;CertProg&amp;CertObj&amp;CertGrant=RIGHT(LEFT($A$2,7),2)&amp;LEFT($A$53,4)&amp;$B$54&amp;K$3,CertSalary))</f>
        <v>0</v>
      </c>
      <c r="L54" s="528">
        <f t="array" ref="L54">SUM(IF(CertFund&amp;CertProg&amp;CertObj&amp;CertGrant=RIGHT(LEFT($A$2,7),2)&amp;LEFT($A$53,4)&amp;$B$54&amp;L$3,CertSalary))</f>
        <v>0</v>
      </c>
      <c r="M54" s="528">
        <f t="array" ref="M54">SUM(IF(CertFund&amp;CertProg&amp;CertObj&amp;CertGrant=RIGHT(LEFT($A$2,7),2)&amp;LEFT($A$53,4)&amp;$B$54&amp;M$3,CertSalary))</f>
        <v>0</v>
      </c>
      <c r="N54" s="528">
        <f t="array" ref="N54">SUM(IF(CertFund&amp;CertProg&amp;CertObj&amp;CertGrant=RIGHT(LEFT($A$2,7),2)&amp;LEFT($A$53,4)&amp;$B$54&amp;N$3,CertSalary))</f>
        <v>0</v>
      </c>
      <c r="O54" s="528">
        <f t="array" ref="O54">SUM(IF(CertFund&amp;CertProg&amp;CertObj&amp;CertGrant=RIGHT(LEFT($A$2,7),2)&amp;LEFT($A$53,4)&amp;$B$54&amp;O$3,CertSalary))</f>
        <v>0</v>
      </c>
      <c r="P54" s="528">
        <f t="array" ref="P54">SUM(IF(CertFund&amp;CertProg&amp;CertObj&amp;CertGrant=RIGHT(LEFT($A$2,7),2)&amp;LEFT($A$53,4)&amp;$B$54&amp;P$3,CertSalary))</f>
        <v>0</v>
      </c>
      <c r="Q54" s="528">
        <f t="array" ref="Q54">SUM(IF(CertFund&amp;CertProg&amp;CertObj&amp;CertGrant=RIGHT(LEFT($A$2,7),2)&amp;LEFT($A$53,4)&amp;$B$54&amp;Q$3,CertSalary))</f>
        <v>0</v>
      </c>
      <c r="R54" s="528">
        <f t="array" ref="R54">SUM(IF(CertFund&amp;CertProg&amp;CertObj&amp;CertGrant=RIGHT(LEFT($A$2,7),2)&amp;LEFT($A$53,4)&amp;$B$54&amp;R$3,CertSalary))</f>
        <v>0</v>
      </c>
      <c r="S54" s="528">
        <f t="array" ref="S54">SUM(IF(CertFund&amp;CertProg&amp;CertObj&amp;CertGrant=RIGHT(LEFT($A$2,7),2)&amp;LEFT($A$53,4)&amp;$B$54&amp;S$3,CertSalary))</f>
        <v>0</v>
      </c>
      <c r="T54" s="528">
        <f t="array" ref="T54">SUM(IF(CertFund&amp;CertProg&amp;CertObj&amp;CertGrant=RIGHT(LEFT($A$2,7),2)&amp;LEFT($A$53,4)&amp;$B$54&amp;T$3,CertSalary))</f>
        <v>0</v>
      </c>
      <c r="U54" s="528">
        <f t="array" ref="U54">SUM(IF(CertFund&amp;CertProg&amp;CertObj&amp;CertGrant=RIGHT(LEFT($A$2,7),2)&amp;LEFT($A$53,4)&amp;$B$54&amp;U$3,CertSalary))</f>
        <v>0</v>
      </c>
      <c r="V54" s="528">
        <f t="array" ref="V54">SUM(IF(CertFund&amp;CertProg&amp;CertObj&amp;CertGrant=RIGHT(LEFT($A$2,7),2)&amp;LEFT($A$53,4)&amp;$B$54&amp;V$3,CertSalary))</f>
        <v>0</v>
      </c>
      <c r="W54" s="528">
        <f t="array" ref="W54">SUM(IF(CertFund&amp;CertProg&amp;CertObj&amp;CertGrant=RIGHT(LEFT($A$2,7),2)&amp;LEFT($A$53,4)&amp;$B$54&amp;W$3,CertSalary))</f>
        <v>0</v>
      </c>
      <c r="X54" s="347">
        <f t="shared" ref="X54:X62" si="10">SUM(D54:W54)</f>
        <v>0</v>
      </c>
    </row>
    <row r="55" spans="1:24" ht="11.25" x14ac:dyDescent="0.2">
      <c r="A55" s="340" t="s">
        <v>1437</v>
      </c>
      <c r="B55" s="588" t="s">
        <v>1577</v>
      </c>
      <c r="C55" s="312" t="s">
        <v>510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7">
        <v>0</v>
      </c>
      <c r="V55" s="147">
        <v>0</v>
      </c>
      <c r="W55" s="147">
        <v>0</v>
      </c>
      <c r="X55" s="341">
        <f t="shared" si="10"/>
        <v>0</v>
      </c>
    </row>
    <row r="56" spans="1:24" ht="11.25" x14ac:dyDescent="0.2">
      <c r="A56" s="340">
        <v>6</v>
      </c>
      <c r="B56" s="588" t="s">
        <v>1578</v>
      </c>
      <c r="C56" s="312" t="s">
        <v>76</v>
      </c>
      <c r="D56" s="528">
        <f t="array" ref="D56">SUM(IF(CertFund&amp;CertProg&amp;CertObj&amp;CertGrant=RIGHT(LEFT($A$2,7),2)&amp;LEFT($A$53,4)&amp;$B$54&amp;D$3,CertBen))</f>
        <v>0</v>
      </c>
      <c r="E56" s="528">
        <f t="array" ref="E56">SUM(IF(CertFund&amp;CertProg&amp;CertObj&amp;CertGrant=RIGHT(LEFT($A$2,7),2)&amp;LEFT($A$53,4)&amp;$B$54&amp;E$3,CertBen))</f>
        <v>0</v>
      </c>
      <c r="F56" s="528">
        <f t="array" ref="F56">SUM(IF(CertFund&amp;CertProg&amp;CertObj&amp;CertGrant=RIGHT(LEFT($A$2,7),2)&amp;LEFT($A$53,4)&amp;$B$54&amp;F$3,CertBen))</f>
        <v>0</v>
      </c>
      <c r="G56" s="528">
        <f t="array" ref="G56">SUM(IF(CertFund&amp;CertProg&amp;CertObj&amp;CertGrant=RIGHT(LEFT($A$2,7),2)&amp;LEFT($A$53,4)&amp;$B$54&amp;G$3,CertBen))</f>
        <v>0</v>
      </c>
      <c r="H56" s="528">
        <f t="array" ref="H56">SUM(IF(CertFund&amp;CertProg&amp;CertObj&amp;CertGrant=RIGHT(LEFT($A$2,7),2)&amp;LEFT($A$53,4)&amp;$B$54&amp;H$3,CertBen))</f>
        <v>0</v>
      </c>
      <c r="I56" s="528">
        <f t="array" ref="I56">SUM(IF(CertFund&amp;CertProg&amp;CertObj&amp;CertGrant=RIGHT(LEFT($A$2,7),2)&amp;LEFT($A$53,4)&amp;$B$54&amp;I$3,CertBen))</f>
        <v>0</v>
      </c>
      <c r="J56" s="528">
        <f t="array" ref="J56">SUM(IF(CertFund&amp;CertProg&amp;CertObj&amp;CertGrant=RIGHT(LEFT($A$2,7),2)&amp;LEFT($A$53,4)&amp;$B$54&amp;J$3,CertBen))</f>
        <v>0</v>
      </c>
      <c r="K56" s="528">
        <f t="array" ref="K56">SUM(IF(CertFund&amp;CertProg&amp;CertObj&amp;CertGrant=RIGHT(LEFT($A$2,7),2)&amp;LEFT($A$53,4)&amp;$B$54&amp;K$3,CertBen))</f>
        <v>0</v>
      </c>
      <c r="L56" s="528">
        <f t="array" ref="L56">SUM(IF(CertFund&amp;CertProg&amp;CertObj&amp;CertGrant=RIGHT(LEFT($A$2,7),2)&amp;LEFT($A$53,4)&amp;$B$54&amp;L$3,CertBen))</f>
        <v>0</v>
      </c>
      <c r="M56" s="528">
        <f t="array" ref="M56">SUM(IF(CertFund&amp;CertProg&amp;CertObj&amp;CertGrant=RIGHT(LEFT($A$2,7),2)&amp;LEFT($A$53,4)&amp;$B$54&amp;M$3,CertBen))</f>
        <v>0</v>
      </c>
      <c r="N56" s="528">
        <f t="array" ref="N56">SUM(IF(CertFund&amp;CertProg&amp;CertObj&amp;CertGrant=RIGHT(LEFT($A$2,7),2)&amp;LEFT($A$53,4)&amp;$B$54&amp;N$3,CertBen))</f>
        <v>0</v>
      </c>
      <c r="O56" s="528">
        <f t="array" ref="O56">SUM(IF(CertFund&amp;CertProg&amp;CertObj&amp;CertGrant=RIGHT(LEFT($A$2,7),2)&amp;LEFT($A$53,4)&amp;$B$54&amp;O$3,CertBen))</f>
        <v>0</v>
      </c>
      <c r="P56" s="528">
        <f t="array" ref="P56">SUM(IF(CertFund&amp;CertProg&amp;CertObj&amp;CertGrant=RIGHT(LEFT($A$2,7),2)&amp;LEFT($A$53,4)&amp;$B$54&amp;P$3,CertBen))</f>
        <v>0</v>
      </c>
      <c r="Q56" s="528">
        <f t="array" ref="Q56">SUM(IF(CertFund&amp;CertProg&amp;CertObj&amp;CertGrant=RIGHT(LEFT($A$2,7),2)&amp;LEFT($A$53,4)&amp;$B$54&amp;Q$3,CertBen))</f>
        <v>0</v>
      </c>
      <c r="R56" s="528">
        <f t="array" ref="R56">SUM(IF(CertFund&amp;CertProg&amp;CertObj&amp;CertGrant=RIGHT(LEFT($A$2,7),2)&amp;LEFT($A$53,4)&amp;$B$54&amp;R$3,CertBen))</f>
        <v>0</v>
      </c>
      <c r="S56" s="528">
        <f t="array" ref="S56">SUM(IF(CertFund&amp;CertProg&amp;CertObj&amp;CertGrant=RIGHT(LEFT($A$2,7),2)&amp;LEFT($A$53,4)&amp;$B$54&amp;S$3,CertBen))</f>
        <v>0</v>
      </c>
      <c r="T56" s="528">
        <f t="array" ref="T56">SUM(IF(CertFund&amp;CertProg&amp;CertObj&amp;CertGrant=RIGHT(LEFT($A$2,7),2)&amp;LEFT($A$53,4)&amp;$B$54&amp;T$3,CertBen))</f>
        <v>0</v>
      </c>
      <c r="U56" s="528">
        <f t="array" ref="U56">SUM(IF(CertFund&amp;CertProg&amp;CertObj&amp;CertGrant=RIGHT(LEFT($A$2,7),2)&amp;LEFT($A$53,4)&amp;$B$54&amp;U$3,CertBen))</f>
        <v>0</v>
      </c>
      <c r="V56" s="528">
        <f t="array" ref="V56">SUM(IF(CertFund&amp;CertProg&amp;CertObj&amp;CertGrant=RIGHT(LEFT($A$2,7),2)&amp;LEFT($A$53,4)&amp;$B$54&amp;V$3,CertBen))</f>
        <v>0</v>
      </c>
      <c r="W56" s="528">
        <f t="array" ref="W56">SUM(IF(CertFund&amp;CertProg&amp;CertObj&amp;CertGrant=RIGHT(LEFT($A$2,7),2)&amp;LEFT($A$53,4)&amp;$B$54&amp;W$3,CertBen))</f>
        <v>0</v>
      </c>
      <c r="X56" s="341">
        <f t="shared" si="10"/>
        <v>0</v>
      </c>
    </row>
    <row r="57" spans="1:24" ht="11.25" x14ac:dyDescent="0.2">
      <c r="A57" s="340" t="s">
        <v>1438</v>
      </c>
      <c r="B57" s="588" t="s">
        <v>1578</v>
      </c>
      <c r="C57" s="312" t="s">
        <v>511</v>
      </c>
      <c r="D57" s="590">
        <v>0</v>
      </c>
      <c r="E57" s="590">
        <v>0</v>
      </c>
      <c r="F57" s="590">
        <v>0</v>
      </c>
      <c r="G57" s="590">
        <v>0</v>
      </c>
      <c r="H57" s="590">
        <v>0</v>
      </c>
      <c r="I57" s="590">
        <v>0</v>
      </c>
      <c r="J57" s="590">
        <v>0</v>
      </c>
      <c r="K57" s="590">
        <v>0</v>
      </c>
      <c r="L57" s="590">
        <v>0</v>
      </c>
      <c r="M57" s="590">
        <v>0</v>
      </c>
      <c r="N57" s="590">
        <v>0</v>
      </c>
      <c r="O57" s="590">
        <v>0</v>
      </c>
      <c r="P57" s="590">
        <v>0</v>
      </c>
      <c r="Q57" s="590">
        <v>0</v>
      </c>
      <c r="R57" s="590">
        <v>0</v>
      </c>
      <c r="S57" s="590">
        <v>0</v>
      </c>
      <c r="T57" s="590">
        <v>0</v>
      </c>
      <c r="U57" s="590">
        <v>0</v>
      </c>
      <c r="V57" s="590">
        <v>0</v>
      </c>
      <c r="W57" s="590">
        <v>0</v>
      </c>
      <c r="X57" s="341">
        <f t="shared" si="10"/>
        <v>0</v>
      </c>
    </row>
    <row r="58" spans="1:24" ht="11.25" x14ac:dyDescent="0.2">
      <c r="A58" s="340">
        <v>7</v>
      </c>
      <c r="B58" s="188" t="s">
        <v>1579</v>
      </c>
      <c r="C58" s="329" t="s">
        <v>273</v>
      </c>
      <c r="D58" s="590">
        <v>0</v>
      </c>
      <c r="E58" s="590">
        <v>0</v>
      </c>
      <c r="F58" s="590">
        <v>0</v>
      </c>
      <c r="G58" s="590">
        <v>0</v>
      </c>
      <c r="H58" s="590">
        <v>0</v>
      </c>
      <c r="I58" s="590">
        <v>0</v>
      </c>
      <c r="J58" s="590">
        <v>0</v>
      </c>
      <c r="K58" s="590">
        <v>0</v>
      </c>
      <c r="L58" s="591">
        <v>0</v>
      </c>
      <c r="M58" s="591">
        <v>0</v>
      </c>
      <c r="N58" s="591">
        <v>0</v>
      </c>
      <c r="O58" s="591">
        <v>0</v>
      </c>
      <c r="P58" s="591">
        <v>0</v>
      </c>
      <c r="Q58" s="591">
        <v>0</v>
      </c>
      <c r="R58" s="591">
        <v>0</v>
      </c>
      <c r="S58" s="591">
        <v>0</v>
      </c>
      <c r="T58" s="591">
        <v>0</v>
      </c>
      <c r="U58" s="591">
        <v>0</v>
      </c>
      <c r="V58" s="591">
        <v>0</v>
      </c>
      <c r="W58" s="591">
        <v>0</v>
      </c>
      <c r="X58" s="341">
        <f t="shared" si="10"/>
        <v>0</v>
      </c>
    </row>
    <row r="59" spans="1:24" ht="11.25" x14ac:dyDescent="0.2">
      <c r="A59" s="340">
        <v>8</v>
      </c>
      <c r="B59" s="188" t="s">
        <v>1581</v>
      </c>
      <c r="C59" s="329" t="s">
        <v>274</v>
      </c>
      <c r="D59" s="590">
        <v>0</v>
      </c>
      <c r="E59" s="590">
        <v>0</v>
      </c>
      <c r="F59" s="590">
        <v>0</v>
      </c>
      <c r="G59" s="590">
        <v>0</v>
      </c>
      <c r="H59" s="590">
        <v>0</v>
      </c>
      <c r="I59" s="590">
        <v>0</v>
      </c>
      <c r="J59" s="590">
        <v>0</v>
      </c>
      <c r="K59" s="590">
        <v>0</v>
      </c>
      <c r="L59" s="591">
        <v>0</v>
      </c>
      <c r="M59" s="591">
        <v>0</v>
      </c>
      <c r="N59" s="591">
        <v>0</v>
      </c>
      <c r="O59" s="591">
        <v>0</v>
      </c>
      <c r="P59" s="591">
        <v>0</v>
      </c>
      <c r="Q59" s="591">
        <v>0</v>
      </c>
      <c r="R59" s="591">
        <v>0</v>
      </c>
      <c r="S59" s="591">
        <v>0</v>
      </c>
      <c r="T59" s="591">
        <v>0</v>
      </c>
      <c r="U59" s="591">
        <v>0</v>
      </c>
      <c r="V59" s="591">
        <v>0</v>
      </c>
      <c r="W59" s="591">
        <v>0</v>
      </c>
      <c r="X59" s="341">
        <f t="shared" si="10"/>
        <v>0</v>
      </c>
    </row>
    <row r="60" spans="1:24" ht="11.25" x14ac:dyDescent="0.2">
      <c r="A60" s="340">
        <v>9</v>
      </c>
      <c r="B60" s="188" t="s">
        <v>1582</v>
      </c>
      <c r="C60" s="329" t="s">
        <v>275</v>
      </c>
      <c r="D60" s="590">
        <v>0</v>
      </c>
      <c r="E60" s="590">
        <v>0</v>
      </c>
      <c r="F60" s="590">
        <v>0</v>
      </c>
      <c r="G60" s="590">
        <v>0</v>
      </c>
      <c r="H60" s="590">
        <v>0</v>
      </c>
      <c r="I60" s="590">
        <v>0</v>
      </c>
      <c r="J60" s="590">
        <v>0</v>
      </c>
      <c r="K60" s="590">
        <v>0</v>
      </c>
      <c r="L60" s="591">
        <v>0</v>
      </c>
      <c r="M60" s="591">
        <v>0</v>
      </c>
      <c r="N60" s="591">
        <v>0</v>
      </c>
      <c r="O60" s="591">
        <v>0</v>
      </c>
      <c r="P60" s="591">
        <v>0</v>
      </c>
      <c r="Q60" s="591">
        <v>0</v>
      </c>
      <c r="R60" s="591">
        <v>0</v>
      </c>
      <c r="S60" s="591">
        <v>0</v>
      </c>
      <c r="T60" s="591">
        <v>0</v>
      </c>
      <c r="U60" s="591">
        <v>0</v>
      </c>
      <c r="V60" s="591">
        <v>0</v>
      </c>
      <c r="W60" s="591">
        <v>0</v>
      </c>
      <c r="X60" s="341">
        <f t="shared" si="10"/>
        <v>0</v>
      </c>
    </row>
    <row r="61" spans="1:24" ht="11.25" x14ac:dyDescent="0.2">
      <c r="A61" s="350">
        <v>10</v>
      </c>
      <c r="B61" s="188" t="s">
        <v>1584</v>
      </c>
      <c r="C61" s="327" t="s">
        <v>276</v>
      </c>
      <c r="D61" s="590">
        <v>0</v>
      </c>
      <c r="E61" s="590">
        <v>0</v>
      </c>
      <c r="F61" s="590">
        <v>0</v>
      </c>
      <c r="G61" s="590">
        <v>0</v>
      </c>
      <c r="H61" s="590">
        <v>0</v>
      </c>
      <c r="I61" s="590">
        <v>0</v>
      </c>
      <c r="J61" s="590">
        <v>0</v>
      </c>
      <c r="K61" s="590">
        <v>0</v>
      </c>
      <c r="L61" s="591">
        <v>0</v>
      </c>
      <c r="M61" s="591">
        <v>0</v>
      </c>
      <c r="N61" s="591">
        <v>0</v>
      </c>
      <c r="O61" s="591">
        <v>0</v>
      </c>
      <c r="P61" s="591">
        <v>0</v>
      </c>
      <c r="Q61" s="591">
        <v>0</v>
      </c>
      <c r="R61" s="591">
        <v>0</v>
      </c>
      <c r="S61" s="591">
        <v>0</v>
      </c>
      <c r="T61" s="591">
        <v>0</v>
      </c>
      <c r="U61" s="591">
        <v>0</v>
      </c>
      <c r="V61" s="591">
        <v>0</v>
      </c>
      <c r="W61" s="591">
        <v>0</v>
      </c>
      <c r="X61" s="341">
        <f t="shared" si="10"/>
        <v>0</v>
      </c>
    </row>
    <row r="62" spans="1:24" ht="11.25" x14ac:dyDescent="0.2">
      <c r="A62" s="340">
        <v>11</v>
      </c>
      <c r="C62" s="346" t="s">
        <v>1630</v>
      </c>
      <c r="D62" s="347">
        <f>SUM(D54:D61)</f>
        <v>0</v>
      </c>
      <c r="E62" s="347">
        <f t="shared" ref="E62:W62" si="11">SUM(E54:E61)</f>
        <v>0</v>
      </c>
      <c r="F62" s="347">
        <f t="shared" si="11"/>
        <v>0</v>
      </c>
      <c r="G62" s="347">
        <f t="shared" si="11"/>
        <v>0</v>
      </c>
      <c r="H62" s="347">
        <f t="shared" si="11"/>
        <v>0</v>
      </c>
      <c r="I62" s="347">
        <f t="shared" si="11"/>
        <v>0</v>
      </c>
      <c r="J62" s="347">
        <f t="shared" si="11"/>
        <v>0</v>
      </c>
      <c r="K62" s="347">
        <f t="shared" si="11"/>
        <v>0</v>
      </c>
      <c r="L62" s="347">
        <f t="shared" si="11"/>
        <v>0</v>
      </c>
      <c r="M62" s="347">
        <f t="shared" si="11"/>
        <v>0</v>
      </c>
      <c r="N62" s="347">
        <f t="shared" si="11"/>
        <v>0</v>
      </c>
      <c r="O62" s="347">
        <f t="shared" si="11"/>
        <v>0</v>
      </c>
      <c r="P62" s="347">
        <f t="shared" si="11"/>
        <v>0</v>
      </c>
      <c r="Q62" s="347">
        <f t="shared" si="11"/>
        <v>0</v>
      </c>
      <c r="R62" s="347">
        <f t="shared" si="11"/>
        <v>0</v>
      </c>
      <c r="S62" s="347">
        <f t="shared" si="11"/>
        <v>0</v>
      </c>
      <c r="T62" s="347">
        <f t="shared" si="11"/>
        <v>0</v>
      </c>
      <c r="U62" s="347">
        <f t="shared" si="11"/>
        <v>0</v>
      </c>
      <c r="V62" s="347">
        <f t="shared" si="11"/>
        <v>0</v>
      </c>
      <c r="W62" s="347">
        <f t="shared" si="11"/>
        <v>0</v>
      </c>
      <c r="X62" s="341">
        <f t="shared" si="10"/>
        <v>0</v>
      </c>
    </row>
    <row r="63" spans="1:24" ht="11.25" x14ac:dyDescent="0.2">
      <c r="A63" s="370" t="s">
        <v>641</v>
      </c>
      <c r="B63" s="369"/>
      <c r="C63" s="348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</row>
    <row r="64" spans="1:24" ht="11.25" x14ac:dyDescent="0.2">
      <c r="A64" s="370" t="s">
        <v>642</v>
      </c>
      <c r="B64" s="369"/>
      <c r="C64" s="348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</row>
    <row r="65" spans="1:24" ht="11.25" x14ac:dyDescent="0.2">
      <c r="A65" s="370" t="s">
        <v>656</v>
      </c>
      <c r="B65" s="369"/>
      <c r="C65" s="348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</row>
    <row r="66" spans="1:24" ht="11.25" x14ac:dyDescent="0.2">
      <c r="A66" s="370" t="s">
        <v>658</v>
      </c>
      <c r="B66" s="369"/>
      <c r="C66" s="348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</row>
    <row r="67" spans="1:24" ht="11.25" x14ac:dyDescent="0.2">
      <c r="A67" s="370" t="s">
        <v>660</v>
      </c>
      <c r="B67" s="369"/>
      <c r="C67" s="348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</row>
    <row r="68" spans="1:24" ht="11.25" x14ac:dyDescent="0.2">
      <c r="A68" s="370" t="s">
        <v>662</v>
      </c>
      <c r="B68" s="369"/>
      <c r="C68" s="348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</row>
    <row r="69" spans="1:24" ht="11.25" x14ac:dyDescent="0.2">
      <c r="A69" s="370" t="s">
        <v>667</v>
      </c>
      <c r="B69" s="369"/>
      <c r="C69" s="348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</row>
    <row r="70" spans="1:24" ht="11.25" x14ac:dyDescent="0.2">
      <c r="A70" s="340">
        <v>12</v>
      </c>
      <c r="B70" s="588" t="s">
        <v>1577</v>
      </c>
      <c r="C70" s="312" t="s">
        <v>228</v>
      </c>
      <c r="D70" s="528">
        <f t="array" ref="D70">SUM(IF(CertFund&amp;CertProg&amp;CertObj&amp;CertGrant=RIGHT(LEFT($A$2,7),2)&amp;LEFT($A$63,4)&amp;$B$70&amp;D$3,CertSalary))+SUM(IF(CertFund&amp;CertProg&amp;CertObj&amp;CertGrant=RIGHT(LEFT($A$2,7),2)&amp;LEFT($A$64,4)&amp;$B$70&amp;D$3,CertSalary))+SUM(IF(CertFund&amp;CertProg&amp;CertObj&amp;CertGrant=RIGHT(LEFT($A$2,7),2)&amp;LEFT($A$65,4)&amp;$B$70&amp;D$3,CertSalary))+SUM(IF(CertFund&amp;CertProg&amp;CertObj&amp;CertGrant=RIGHT(LEFT($A$2,7),2)&amp;LEFT($A$66,4)&amp;$B$70&amp;D$3,CertSalary))+SUM(IF(CertFund&amp;CertProg&amp;CertObj&amp;CertGrant=RIGHT(LEFT($A$2,7),2)&amp;LEFT($A$67,4)&amp;$B$70&amp;D$3,CertSalary))+SUM(IF(CertFund&amp;CertProg&amp;CertObj&amp;CertGrant=RIGHT(LEFT($A$2,7),2)&amp;LEFT($A$68,4)&amp;$B$70&amp;D$3,CertSalary))+SUM(IF(CertFund&amp;CertProg&amp;CertObj&amp;CertGrant=RIGHT(LEFT($A$2,7),2)&amp;LEFT($A$69,4)&amp;$B$70&amp;D$3,CertSalary))</f>
        <v>0</v>
      </c>
      <c r="E70" s="528">
        <f t="array" ref="E70">SUM(IF(CertFund&amp;CertProg&amp;CertObj&amp;CertGrant=RIGHT(LEFT($A$2,7),2)&amp;LEFT($A$63,4)&amp;$B$70&amp;E$3,CertSalary))+SUM(IF(CertFund&amp;CertProg&amp;CertObj&amp;CertGrant=RIGHT(LEFT($A$2,7),2)&amp;LEFT($A$64,4)&amp;$B$70&amp;E$3,CertSalary))+SUM(IF(CertFund&amp;CertProg&amp;CertObj&amp;CertGrant=RIGHT(LEFT($A$2,7),2)&amp;LEFT($A$65,4)&amp;$B$70&amp;E$3,CertSalary))+SUM(IF(CertFund&amp;CertProg&amp;CertObj&amp;CertGrant=RIGHT(LEFT($A$2,7),2)&amp;LEFT($A$66,4)&amp;$B$70&amp;E$3,CertSalary))+SUM(IF(CertFund&amp;CertProg&amp;CertObj&amp;CertGrant=RIGHT(LEFT($A$2,7),2)&amp;LEFT($A$67,4)&amp;$B$70&amp;E$3,CertSalary))+SUM(IF(CertFund&amp;CertProg&amp;CertObj&amp;CertGrant=RIGHT(LEFT($A$2,7),2)&amp;LEFT($A$68,4)&amp;$B$70&amp;E$3,CertSalary))+SUM(IF(CertFund&amp;CertProg&amp;CertObj&amp;CertGrant=RIGHT(LEFT($A$2,7),2)&amp;LEFT($A$69,4)&amp;$B$70&amp;E$3,CertSalary))</f>
        <v>0</v>
      </c>
      <c r="F70" s="528">
        <f t="array" ref="F70">SUM(IF(CertFund&amp;CertProg&amp;CertObj&amp;CertGrant=RIGHT(LEFT($A$2,7),2)&amp;LEFT($A$63,4)&amp;$B$70&amp;F$3,CertSalary))+SUM(IF(CertFund&amp;CertProg&amp;CertObj&amp;CertGrant=RIGHT(LEFT($A$2,7),2)&amp;LEFT($A$64,4)&amp;$B$70&amp;F$3,CertSalary))+SUM(IF(CertFund&amp;CertProg&amp;CertObj&amp;CertGrant=RIGHT(LEFT($A$2,7),2)&amp;LEFT($A$65,4)&amp;$B$70&amp;F$3,CertSalary))+SUM(IF(CertFund&amp;CertProg&amp;CertObj&amp;CertGrant=RIGHT(LEFT($A$2,7),2)&amp;LEFT($A$66,4)&amp;$B$70&amp;F$3,CertSalary))+SUM(IF(CertFund&amp;CertProg&amp;CertObj&amp;CertGrant=RIGHT(LEFT($A$2,7),2)&amp;LEFT($A$67,4)&amp;$B$70&amp;F$3,CertSalary))+SUM(IF(CertFund&amp;CertProg&amp;CertObj&amp;CertGrant=RIGHT(LEFT($A$2,7),2)&amp;LEFT($A$68,4)&amp;$B$70&amp;F$3,CertSalary))+SUM(IF(CertFund&amp;CertProg&amp;CertObj&amp;CertGrant=RIGHT(LEFT($A$2,7),2)&amp;LEFT($A$69,4)&amp;$B$70&amp;F$3,CertSalary))</f>
        <v>0</v>
      </c>
      <c r="G70" s="528">
        <f t="array" ref="G70">SUM(IF(CertFund&amp;CertProg&amp;CertObj&amp;CertGrant=RIGHT(LEFT($A$2,7),2)&amp;LEFT($A$63,4)&amp;$B$70&amp;G$3,CertSalary))+SUM(IF(CertFund&amp;CertProg&amp;CertObj&amp;CertGrant=RIGHT(LEFT($A$2,7),2)&amp;LEFT($A$64,4)&amp;$B$70&amp;G$3,CertSalary))+SUM(IF(CertFund&amp;CertProg&amp;CertObj&amp;CertGrant=RIGHT(LEFT($A$2,7),2)&amp;LEFT($A$65,4)&amp;$B$70&amp;G$3,CertSalary))+SUM(IF(CertFund&amp;CertProg&amp;CertObj&amp;CertGrant=RIGHT(LEFT($A$2,7),2)&amp;LEFT($A$66,4)&amp;$B$70&amp;G$3,CertSalary))+SUM(IF(CertFund&amp;CertProg&amp;CertObj&amp;CertGrant=RIGHT(LEFT($A$2,7),2)&amp;LEFT($A$67,4)&amp;$B$70&amp;G$3,CertSalary))+SUM(IF(CertFund&amp;CertProg&amp;CertObj&amp;CertGrant=RIGHT(LEFT($A$2,7),2)&amp;LEFT($A$68,4)&amp;$B$70&amp;G$3,CertSalary))+SUM(IF(CertFund&amp;CertProg&amp;CertObj&amp;CertGrant=RIGHT(LEFT($A$2,7),2)&amp;LEFT($A$69,4)&amp;$B$70&amp;G$3,CertSalary))</f>
        <v>0</v>
      </c>
      <c r="H70" s="528">
        <f t="array" ref="H70">SUM(IF(CertFund&amp;CertProg&amp;CertObj&amp;CertGrant=RIGHT(LEFT($A$2,7),2)&amp;LEFT($A$63,4)&amp;$B$70&amp;H$3,CertSalary))+SUM(IF(CertFund&amp;CertProg&amp;CertObj&amp;CertGrant=RIGHT(LEFT($A$2,7),2)&amp;LEFT($A$64,4)&amp;$B$70&amp;H$3,CertSalary))+SUM(IF(CertFund&amp;CertProg&amp;CertObj&amp;CertGrant=RIGHT(LEFT($A$2,7),2)&amp;LEFT($A$65,4)&amp;$B$70&amp;H$3,CertSalary))+SUM(IF(CertFund&amp;CertProg&amp;CertObj&amp;CertGrant=RIGHT(LEFT($A$2,7),2)&amp;LEFT($A$66,4)&amp;$B$70&amp;H$3,CertSalary))+SUM(IF(CertFund&amp;CertProg&amp;CertObj&amp;CertGrant=RIGHT(LEFT($A$2,7),2)&amp;LEFT($A$67,4)&amp;$B$70&amp;H$3,CertSalary))+SUM(IF(CertFund&amp;CertProg&amp;CertObj&amp;CertGrant=RIGHT(LEFT($A$2,7),2)&amp;LEFT($A$68,4)&amp;$B$70&amp;H$3,CertSalary))+SUM(IF(CertFund&amp;CertProg&amp;CertObj&amp;CertGrant=RIGHT(LEFT($A$2,7),2)&amp;LEFT($A$69,4)&amp;$B$70&amp;H$3,CertSalary))</f>
        <v>0</v>
      </c>
      <c r="I70" s="528">
        <f t="array" ref="I70">SUM(IF(CertFund&amp;CertProg&amp;CertObj&amp;CertGrant=RIGHT(LEFT($A$2,7),2)&amp;LEFT($A$63,4)&amp;$B$70&amp;I$3,CertSalary))+SUM(IF(CertFund&amp;CertProg&amp;CertObj&amp;CertGrant=RIGHT(LEFT($A$2,7),2)&amp;LEFT($A$64,4)&amp;$B$70&amp;I$3,CertSalary))+SUM(IF(CertFund&amp;CertProg&amp;CertObj&amp;CertGrant=RIGHT(LEFT($A$2,7),2)&amp;LEFT($A$65,4)&amp;$B$70&amp;I$3,CertSalary))+SUM(IF(CertFund&amp;CertProg&amp;CertObj&amp;CertGrant=RIGHT(LEFT($A$2,7),2)&amp;LEFT($A$66,4)&amp;$B$70&amp;I$3,CertSalary))+SUM(IF(CertFund&amp;CertProg&amp;CertObj&amp;CertGrant=RIGHT(LEFT($A$2,7),2)&amp;LEFT($A$67,4)&amp;$B$70&amp;I$3,CertSalary))+SUM(IF(CertFund&amp;CertProg&amp;CertObj&amp;CertGrant=RIGHT(LEFT($A$2,7),2)&amp;LEFT($A$68,4)&amp;$B$70&amp;I$3,CertSalary))+SUM(IF(CertFund&amp;CertProg&amp;CertObj&amp;CertGrant=RIGHT(LEFT($A$2,7),2)&amp;LEFT($A$69,4)&amp;$B$70&amp;I$3,CertSalary))</f>
        <v>0</v>
      </c>
      <c r="J70" s="528">
        <f t="array" ref="J70">SUM(IF(CertFund&amp;CertProg&amp;CertObj&amp;CertGrant=RIGHT(LEFT($A$2,7),2)&amp;LEFT($A$63,4)&amp;$B$70&amp;J$3,CertSalary))+SUM(IF(CertFund&amp;CertProg&amp;CertObj&amp;CertGrant=RIGHT(LEFT($A$2,7),2)&amp;LEFT($A$64,4)&amp;$B$70&amp;J$3,CertSalary))+SUM(IF(CertFund&amp;CertProg&amp;CertObj&amp;CertGrant=RIGHT(LEFT($A$2,7),2)&amp;LEFT($A$65,4)&amp;$B$70&amp;J$3,CertSalary))+SUM(IF(CertFund&amp;CertProg&amp;CertObj&amp;CertGrant=RIGHT(LEFT($A$2,7),2)&amp;LEFT($A$66,4)&amp;$B$70&amp;J$3,CertSalary))+SUM(IF(CertFund&amp;CertProg&amp;CertObj&amp;CertGrant=RIGHT(LEFT($A$2,7),2)&amp;LEFT($A$67,4)&amp;$B$70&amp;J$3,CertSalary))+SUM(IF(CertFund&amp;CertProg&amp;CertObj&amp;CertGrant=RIGHT(LEFT($A$2,7),2)&amp;LEFT($A$68,4)&amp;$B$70&amp;J$3,CertSalary))+SUM(IF(CertFund&amp;CertProg&amp;CertObj&amp;CertGrant=RIGHT(LEFT($A$2,7),2)&amp;LEFT($A$69,4)&amp;$B$70&amp;J$3,CertSalary))</f>
        <v>0</v>
      </c>
      <c r="K70" s="528">
        <f t="array" ref="K70">SUM(IF(CertFund&amp;CertProg&amp;CertObj&amp;CertGrant=RIGHT(LEFT($A$2,7),2)&amp;LEFT($A$63,4)&amp;$B$70&amp;K$3,CertSalary))+SUM(IF(CertFund&amp;CertProg&amp;CertObj&amp;CertGrant=RIGHT(LEFT($A$2,7),2)&amp;LEFT($A$64,4)&amp;$B$70&amp;K$3,CertSalary))+SUM(IF(CertFund&amp;CertProg&amp;CertObj&amp;CertGrant=RIGHT(LEFT($A$2,7),2)&amp;LEFT($A$65,4)&amp;$B$70&amp;K$3,CertSalary))+SUM(IF(CertFund&amp;CertProg&amp;CertObj&amp;CertGrant=RIGHT(LEFT($A$2,7),2)&amp;LEFT($A$66,4)&amp;$B$70&amp;K$3,CertSalary))+SUM(IF(CertFund&amp;CertProg&amp;CertObj&amp;CertGrant=RIGHT(LEFT($A$2,7),2)&amp;LEFT($A$67,4)&amp;$B$70&amp;K$3,CertSalary))+SUM(IF(CertFund&amp;CertProg&amp;CertObj&amp;CertGrant=RIGHT(LEFT($A$2,7),2)&amp;LEFT($A$68,4)&amp;$B$70&amp;K$3,CertSalary))+SUM(IF(CertFund&amp;CertProg&amp;CertObj&amp;CertGrant=RIGHT(LEFT($A$2,7),2)&amp;LEFT($A$69,4)&amp;$B$70&amp;K$3,CertSalary))</f>
        <v>0</v>
      </c>
      <c r="L70" s="528">
        <f t="array" ref="L70">SUM(IF(CertFund&amp;CertProg&amp;CertObj&amp;CertGrant=RIGHT(LEFT($A$2,7),2)&amp;LEFT($A$63,4)&amp;$B$70&amp;L$3,CertSalary))+SUM(IF(CertFund&amp;CertProg&amp;CertObj&amp;CertGrant=RIGHT(LEFT($A$2,7),2)&amp;LEFT($A$64,4)&amp;$B$70&amp;L$3,CertSalary))+SUM(IF(CertFund&amp;CertProg&amp;CertObj&amp;CertGrant=RIGHT(LEFT($A$2,7),2)&amp;LEFT($A$65,4)&amp;$B$70&amp;L$3,CertSalary))+SUM(IF(CertFund&amp;CertProg&amp;CertObj&amp;CertGrant=RIGHT(LEFT($A$2,7),2)&amp;LEFT($A$66,4)&amp;$B$70&amp;L$3,CertSalary))+SUM(IF(CertFund&amp;CertProg&amp;CertObj&amp;CertGrant=RIGHT(LEFT($A$2,7),2)&amp;LEFT($A$67,4)&amp;$B$70&amp;L$3,CertSalary))+SUM(IF(CertFund&amp;CertProg&amp;CertObj&amp;CertGrant=RIGHT(LEFT($A$2,7),2)&amp;LEFT($A$68,4)&amp;$B$70&amp;L$3,CertSalary))+SUM(IF(CertFund&amp;CertProg&amp;CertObj&amp;CertGrant=RIGHT(LEFT($A$2,7),2)&amp;LEFT($A$69,4)&amp;$B$70&amp;L$3,CertSalary))</f>
        <v>0</v>
      </c>
      <c r="M70" s="528">
        <f t="array" ref="M70">SUM(IF(CertFund&amp;CertProg&amp;CertObj&amp;CertGrant=RIGHT(LEFT($A$2,7),2)&amp;LEFT($A$63,4)&amp;$B$70&amp;M$3,CertSalary))+SUM(IF(CertFund&amp;CertProg&amp;CertObj&amp;CertGrant=RIGHT(LEFT($A$2,7),2)&amp;LEFT($A$64,4)&amp;$B$70&amp;M$3,CertSalary))+SUM(IF(CertFund&amp;CertProg&amp;CertObj&amp;CertGrant=RIGHT(LEFT($A$2,7),2)&amp;LEFT($A$65,4)&amp;$B$70&amp;M$3,CertSalary))+SUM(IF(CertFund&amp;CertProg&amp;CertObj&amp;CertGrant=RIGHT(LEFT($A$2,7),2)&amp;LEFT($A$66,4)&amp;$B$70&amp;M$3,CertSalary))+SUM(IF(CertFund&amp;CertProg&amp;CertObj&amp;CertGrant=RIGHT(LEFT($A$2,7),2)&amp;LEFT($A$67,4)&amp;$B$70&amp;M$3,CertSalary))+SUM(IF(CertFund&amp;CertProg&amp;CertObj&amp;CertGrant=RIGHT(LEFT($A$2,7),2)&amp;LEFT($A$68,4)&amp;$B$70&amp;M$3,CertSalary))+SUM(IF(CertFund&amp;CertProg&amp;CertObj&amp;CertGrant=RIGHT(LEFT($A$2,7),2)&amp;LEFT($A$69,4)&amp;$B$70&amp;M$3,CertSalary))</f>
        <v>0</v>
      </c>
      <c r="N70" s="528">
        <f t="array" ref="N70">SUM(IF(CertFund&amp;CertProg&amp;CertObj&amp;CertGrant=RIGHT(LEFT($A$2,7),2)&amp;LEFT($A$63,4)&amp;$B$70&amp;N$3,CertSalary))+SUM(IF(CertFund&amp;CertProg&amp;CertObj&amp;CertGrant=RIGHT(LEFT($A$2,7),2)&amp;LEFT($A$64,4)&amp;$B$70&amp;N$3,CertSalary))+SUM(IF(CertFund&amp;CertProg&amp;CertObj&amp;CertGrant=RIGHT(LEFT($A$2,7),2)&amp;LEFT($A$65,4)&amp;$B$70&amp;N$3,CertSalary))+SUM(IF(CertFund&amp;CertProg&amp;CertObj&amp;CertGrant=RIGHT(LEFT($A$2,7),2)&amp;LEFT($A$66,4)&amp;$B$70&amp;N$3,CertSalary))+SUM(IF(CertFund&amp;CertProg&amp;CertObj&amp;CertGrant=RIGHT(LEFT($A$2,7),2)&amp;LEFT($A$67,4)&amp;$B$70&amp;N$3,CertSalary))+SUM(IF(CertFund&amp;CertProg&amp;CertObj&amp;CertGrant=RIGHT(LEFT($A$2,7),2)&amp;LEFT($A$68,4)&amp;$B$70&amp;N$3,CertSalary))+SUM(IF(CertFund&amp;CertProg&amp;CertObj&amp;CertGrant=RIGHT(LEFT($A$2,7),2)&amp;LEFT($A$69,4)&amp;$B$70&amp;N$3,CertSalary))</f>
        <v>0</v>
      </c>
      <c r="O70" s="528">
        <f t="array" ref="O70">SUM(IF(CertFund&amp;CertProg&amp;CertObj&amp;CertGrant=RIGHT(LEFT($A$2,7),2)&amp;LEFT($A$63,4)&amp;$B$70&amp;O$3,CertSalary))+SUM(IF(CertFund&amp;CertProg&amp;CertObj&amp;CertGrant=RIGHT(LEFT($A$2,7),2)&amp;LEFT($A$64,4)&amp;$B$70&amp;O$3,CertSalary))+SUM(IF(CertFund&amp;CertProg&amp;CertObj&amp;CertGrant=RIGHT(LEFT($A$2,7),2)&amp;LEFT($A$65,4)&amp;$B$70&amp;O$3,CertSalary))+SUM(IF(CertFund&amp;CertProg&amp;CertObj&amp;CertGrant=RIGHT(LEFT($A$2,7),2)&amp;LEFT($A$66,4)&amp;$B$70&amp;O$3,CertSalary))+SUM(IF(CertFund&amp;CertProg&amp;CertObj&amp;CertGrant=RIGHT(LEFT($A$2,7),2)&amp;LEFT($A$67,4)&amp;$B$70&amp;O$3,CertSalary))+SUM(IF(CertFund&amp;CertProg&amp;CertObj&amp;CertGrant=RIGHT(LEFT($A$2,7),2)&amp;LEFT($A$68,4)&amp;$B$70&amp;O$3,CertSalary))+SUM(IF(CertFund&amp;CertProg&amp;CertObj&amp;CertGrant=RIGHT(LEFT($A$2,7),2)&amp;LEFT($A$69,4)&amp;$B$70&amp;O$3,CertSalary))</f>
        <v>0</v>
      </c>
      <c r="P70" s="528">
        <f t="array" ref="P70">SUM(IF(CertFund&amp;CertProg&amp;CertObj&amp;CertGrant=RIGHT(LEFT($A$2,7),2)&amp;LEFT($A$63,4)&amp;$B$70&amp;P$3,CertSalary))+SUM(IF(CertFund&amp;CertProg&amp;CertObj&amp;CertGrant=RIGHT(LEFT($A$2,7),2)&amp;LEFT($A$64,4)&amp;$B$70&amp;P$3,CertSalary))+SUM(IF(CertFund&amp;CertProg&amp;CertObj&amp;CertGrant=RIGHT(LEFT($A$2,7),2)&amp;LEFT($A$65,4)&amp;$B$70&amp;P$3,CertSalary))+SUM(IF(CertFund&amp;CertProg&amp;CertObj&amp;CertGrant=RIGHT(LEFT($A$2,7),2)&amp;LEFT($A$66,4)&amp;$B$70&amp;P$3,CertSalary))+SUM(IF(CertFund&amp;CertProg&amp;CertObj&amp;CertGrant=RIGHT(LEFT($A$2,7),2)&amp;LEFT($A$67,4)&amp;$B$70&amp;P$3,CertSalary))+SUM(IF(CertFund&amp;CertProg&amp;CertObj&amp;CertGrant=RIGHT(LEFT($A$2,7),2)&amp;LEFT($A$68,4)&amp;$B$70&amp;P$3,CertSalary))+SUM(IF(CertFund&amp;CertProg&amp;CertObj&amp;CertGrant=RIGHT(LEFT($A$2,7),2)&amp;LEFT($A$69,4)&amp;$B$70&amp;P$3,CertSalary))</f>
        <v>0</v>
      </c>
      <c r="Q70" s="528">
        <f t="array" ref="Q70">SUM(IF(CertFund&amp;CertProg&amp;CertObj&amp;CertGrant=RIGHT(LEFT($A$2,7),2)&amp;LEFT($A$63,4)&amp;$B$70&amp;Q$3,CertSalary))+SUM(IF(CertFund&amp;CertProg&amp;CertObj&amp;CertGrant=RIGHT(LEFT($A$2,7),2)&amp;LEFT($A$64,4)&amp;$B$70&amp;Q$3,CertSalary))+SUM(IF(CertFund&amp;CertProg&amp;CertObj&amp;CertGrant=RIGHT(LEFT($A$2,7),2)&amp;LEFT($A$65,4)&amp;$B$70&amp;Q$3,CertSalary))+SUM(IF(CertFund&amp;CertProg&amp;CertObj&amp;CertGrant=RIGHT(LEFT($A$2,7),2)&amp;LEFT($A$66,4)&amp;$B$70&amp;Q$3,CertSalary))+SUM(IF(CertFund&amp;CertProg&amp;CertObj&amp;CertGrant=RIGHT(LEFT($A$2,7),2)&amp;LEFT($A$67,4)&amp;$B$70&amp;Q$3,CertSalary))+SUM(IF(CertFund&amp;CertProg&amp;CertObj&amp;CertGrant=RIGHT(LEFT($A$2,7),2)&amp;LEFT($A$68,4)&amp;$B$70&amp;Q$3,CertSalary))+SUM(IF(CertFund&amp;CertProg&amp;CertObj&amp;CertGrant=RIGHT(LEFT($A$2,7),2)&amp;LEFT($A$69,4)&amp;$B$70&amp;Q$3,CertSalary))</f>
        <v>0</v>
      </c>
      <c r="R70" s="528">
        <f t="array" ref="R70">SUM(IF(CertFund&amp;CertProg&amp;CertObj&amp;CertGrant=RIGHT(LEFT($A$2,7),2)&amp;LEFT($A$63,4)&amp;$B$70&amp;R$3,CertSalary))+SUM(IF(CertFund&amp;CertProg&amp;CertObj&amp;CertGrant=RIGHT(LEFT($A$2,7),2)&amp;LEFT($A$64,4)&amp;$B$70&amp;R$3,CertSalary))+SUM(IF(CertFund&amp;CertProg&amp;CertObj&amp;CertGrant=RIGHT(LEFT($A$2,7),2)&amp;LEFT($A$65,4)&amp;$B$70&amp;R$3,CertSalary))+SUM(IF(CertFund&amp;CertProg&amp;CertObj&amp;CertGrant=RIGHT(LEFT($A$2,7),2)&amp;LEFT($A$66,4)&amp;$B$70&amp;R$3,CertSalary))+SUM(IF(CertFund&amp;CertProg&amp;CertObj&amp;CertGrant=RIGHT(LEFT($A$2,7),2)&amp;LEFT($A$67,4)&amp;$B$70&amp;R$3,CertSalary))+SUM(IF(CertFund&amp;CertProg&amp;CertObj&amp;CertGrant=RIGHT(LEFT($A$2,7),2)&amp;LEFT($A$68,4)&amp;$B$70&amp;R$3,CertSalary))+SUM(IF(CertFund&amp;CertProg&amp;CertObj&amp;CertGrant=RIGHT(LEFT($A$2,7),2)&amp;LEFT($A$69,4)&amp;$B$70&amp;R$3,CertSalary))</f>
        <v>0</v>
      </c>
      <c r="S70" s="528">
        <f t="array" ref="S70">SUM(IF(CertFund&amp;CertProg&amp;CertObj&amp;CertGrant=RIGHT(LEFT($A$2,7),2)&amp;LEFT($A$63,4)&amp;$B$70&amp;S$3,CertSalary))+SUM(IF(CertFund&amp;CertProg&amp;CertObj&amp;CertGrant=RIGHT(LEFT($A$2,7),2)&amp;LEFT($A$64,4)&amp;$B$70&amp;S$3,CertSalary))+SUM(IF(CertFund&amp;CertProg&amp;CertObj&amp;CertGrant=RIGHT(LEFT($A$2,7),2)&amp;LEFT($A$65,4)&amp;$B$70&amp;S$3,CertSalary))+SUM(IF(CertFund&amp;CertProg&amp;CertObj&amp;CertGrant=RIGHT(LEFT($A$2,7),2)&amp;LEFT($A$66,4)&amp;$B$70&amp;S$3,CertSalary))+SUM(IF(CertFund&amp;CertProg&amp;CertObj&amp;CertGrant=RIGHT(LEFT($A$2,7),2)&amp;LEFT($A$67,4)&amp;$B$70&amp;S$3,CertSalary))+SUM(IF(CertFund&amp;CertProg&amp;CertObj&amp;CertGrant=RIGHT(LEFT($A$2,7),2)&amp;LEFT($A$68,4)&amp;$B$70&amp;S$3,CertSalary))+SUM(IF(CertFund&amp;CertProg&amp;CertObj&amp;CertGrant=RIGHT(LEFT($A$2,7),2)&amp;LEFT($A$69,4)&amp;$B$70&amp;S$3,CertSalary))</f>
        <v>0</v>
      </c>
      <c r="T70" s="528">
        <f t="array" ref="T70">SUM(IF(CertFund&amp;CertProg&amp;CertObj&amp;CertGrant=RIGHT(LEFT($A$2,7),2)&amp;LEFT($A$63,4)&amp;$B$70&amp;T$3,CertSalary))+SUM(IF(CertFund&amp;CertProg&amp;CertObj&amp;CertGrant=RIGHT(LEFT($A$2,7),2)&amp;LEFT($A$64,4)&amp;$B$70&amp;T$3,CertSalary))+SUM(IF(CertFund&amp;CertProg&amp;CertObj&amp;CertGrant=RIGHT(LEFT($A$2,7),2)&amp;LEFT($A$65,4)&amp;$B$70&amp;T$3,CertSalary))+SUM(IF(CertFund&amp;CertProg&amp;CertObj&amp;CertGrant=RIGHT(LEFT($A$2,7),2)&amp;LEFT($A$66,4)&amp;$B$70&amp;T$3,CertSalary))+SUM(IF(CertFund&amp;CertProg&amp;CertObj&amp;CertGrant=RIGHT(LEFT($A$2,7),2)&amp;LEFT($A$67,4)&amp;$B$70&amp;T$3,CertSalary))+SUM(IF(CertFund&amp;CertProg&amp;CertObj&amp;CertGrant=RIGHT(LEFT($A$2,7),2)&amp;LEFT($A$68,4)&amp;$B$70&amp;T$3,CertSalary))+SUM(IF(CertFund&amp;CertProg&amp;CertObj&amp;CertGrant=RIGHT(LEFT($A$2,7),2)&amp;LEFT($A$69,4)&amp;$B$70&amp;T$3,CertSalary))</f>
        <v>0</v>
      </c>
      <c r="U70" s="528">
        <f t="array" ref="U70">SUM(IF(CertFund&amp;CertProg&amp;CertObj&amp;CertGrant=RIGHT(LEFT($A$2,7),2)&amp;LEFT($A$63,4)&amp;$B$70&amp;U$3,CertSalary))+SUM(IF(CertFund&amp;CertProg&amp;CertObj&amp;CertGrant=RIGHT(LEFT($A$2,7),2)&amp;LEFT($A$64,4)&amp;$B$70&amp;U$3,CertSalary))+SUM(IF(CertFund&amp;CertProg&amp;CertObj&amp;CertGrant=RIGHT(LEFT($A$2,7),2)&amp;LEFT($A$65,4)&amp;$B$70&amp;U$3,CertSalary))+SUM(IF(CertFund&amp;CertProg&amp;CertObj&amp;CertGrant=RIGHT(LEFT($A$2,7),2)&amp;LEFT($A$66,4)&amp;$B$70&amp;U$3,CertSalary))+SUM(IF(CertFund&amp;CertProg&amp;CertObj&amp;CertGrant=RIGHT(LEFT($A$2,7),2)&amp;LEFT($A$67,4)&amp;$B$70&amp;U$3,CertSalary))+SUM(IF(CertFund&amp;CertProg&amp;CertObj&amp;CertGrant=RIGHT(LEFT($A$2,7),2)&amp;LEFT($A$68,4)&amp;$B$70&amp;U$3,CertSalary))+SUM(IF(CertFund&amp;CertProg&amp;CertObj&amp;CertGrant=RIGHT(LEFT($A$2,7),2)&amp;LEFT($A$69,4)&amp;$B$70&amp;U$3,CertSalary))</f>
        <v>0</v>
      </c>
      <c r="V70" s="528">
        <f t="array" ref="V70">SUM(IF(CertFund&amp;CertProg&amp;CertObj&amp;CertGrant=RIGHT(LEFT($A$2,7),2)&amp;LEFT($A$63,4)&amp;$B$70&amp;V$3,CertSalary))+SUM(IF(CertFund&amp;CertProg&amp;CertObj&amp;CertGrant=RIGHT(LEFT($A$2,7),2)&amp;LEFT($A$64,4)&amp;$B$70&amp;V$3,CertSalary))+SUM(IF(CertFund&amp;CertProg&amp;CertObj&amp;CertGrant=RIGHT(LEFT($A$2,7),2)&amp;LEFT($A$65,4)&amp;$B$70&amp;V$3,CertSalary))+SUM(IF(CertFund&amp;CertProg&amp;CertObj&amp;CertGrant=RIGHT(LEFT($A$2,7),2)&amp;LEFT($A$66,4)&amp;$B$70&amp;V$3,CertSalary))+SUM(IF(CertFund&amp;CertProg&amp;CertObj&amp;CertGrant=RIGHT(LEFT($A$2,7),2)&amp;LEFT($A$67,4)&amp;$B$70&amp;V$3,CertSalary))+SUM(IF(CertFund&amp;CertProg&amp;CertObj&amp;CertGrant=RIGHT(LEFT($A$2,7),2)&amp;LEFT($A$68,4)&amp;$B$70&amp;V$3,CertSalary))+SUM(IF(CertFund&amp;CertProg&amp;CertObj&amp;CertGrant=RIGHT(LEFT($A$2,7),2)&amp;LEFT($A$69,4)&amp;$B$70&amp;V$3,CertSalary))</f>
        <v>0</v>
      </c>
      <c r="W70" s="528">
        <f t="array" ref="W70">SUM(IF(CertFund&amp;CertProg&amp;CertObj&amp;CertGrant=RIGHT(LEFT($A$2,7),2)&amp;LEFT($A$63,4)&amp;$B$70&amp;W$3,CertSalary))+SUM(IF(CertFund&amp;CertProg&amp;CertObj&amp;CertGrant=RIGHT(LEFT($A$2,7),2)&amp;LEFT($A$64,4)&amp;$B$70&amp;W$3,CertSalary))+SUM(IF(CertFund&amp;CertProg&amp;CertObj&amp;CertGrant=RIGHT(LEFT($A$2,7),2)&amp;LEFT($A$65,4)&amp;$B$70&amp;W$3,CertSalary))+SUM(IF(CertFund&amp;CertProg&amp;CertObj&amp;CertGrant=RIGHT(LEFT($A$2,7),2)&amp;LEFT($A$66,4)&amp;$B$70&amp;W$3,CertSalary))+SUM(IF(CertFund&amp;CertProg&amp;CertObj&amp;CertGrant=RIGHT(LEFT($A$2,7),2)&amp;LEFT($A$67,4)&amp;$B$70&amp;W$3,CertSalary))+SUM(IF(CertFund&amp;CertProg&amp;CertObj&amp;CertGrant=RIGHT(LEFT($A$2,7),2)&amp;LEFT($A$68,4)&amp;$B$70&amp;W$3,CertSalary))+SUM(IF(CertFund&amp;CertProg&amp;CertObj&amp;CertGrant=RIGHT(LEFT($A$2,7),2)&amp;LEFT($A$69,4)&amp;$B$70&amp;W$3,CertSalary))</f>
        <v>0</v>
      </c>
      <c r="X70" s="347">
        <f t="shared" ref="X70:X79" si="12">SUM(D70:W70)</f>
        <v>0</v>
      </c>
    </row>
    <row r="71" spans="1:24" ht="11.25" x14ac:dyDescent="0.2">
      <c r="A71" s="340" t="s">
        <v>1338</v>
      </c>
      <c r="B71" s="588" t="s">
        <v>1577</v>
      </c>
      <c r="C71" s="312" t="s">
        <v>510</v>
      </c>
      <c r="D71" s="147">
        <v>0</v>
      </c>
      <c r="E71" s="147">
        <v>0</v>
      </c>
      <c r="F71" s="147">
        <v>0</v>
      </c>
      <c r="G71" s="147">
        <v>0</v>
      </c>
      <c r="H71" s="147">
        <v>0</v>
      </c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7">
        <v>0</v>
      </c>
      <c r="V71" s="147">
        <v>0</v>
      </c>
      <c r="W71" s="147">
        <v>0</v>
      </c>
      <c r="X71" s="341">
        <f t="shared" si="12"/>
        <v>0</v>
      </c>
    </row>
    <row r="72" spans="1:24" ht="11.25" x14ac:dyDescent="0.2">
      <c r="A72" s="350">
        <v>13</v>
      </c>
      <c r="B72" s="588" t="s">
        <v>1578</v>
      </c>
      <c r="C72" s="312" t="s">
        <v>76</v>
      </c>
      <c r="D72" s="528">
        <f t="array" ref="D72">SUM(IF(CertFund&amp;CertProg&amp;CertObj&amp;CertGrant=RIGHT(LEFT($A$2,7),2)&amp;LEFT($A$63,4)&amp;$B$70&amp;D$3,CertBen))+SUM(IF(CertFund&amp;CertProg&amp;CertObj&amp;CertGrant=RIGHT(LEFT($A$2,7),2)&amp;LEFT($A$64,4)&amp;$B$70&amp;D$3,CertBen))+SUM(IF(CertFund&amp;CertProg&amp;CertObj&amp;CertGrant=RIGHT(LEFT($A$2,7),2)&amp;LEFT($A$65,4)&amp;$B$70&amp;D$3,CertBen))+SUM(IF(CertFund&amp;CertProg&amp;CertObj&amp;CertGrant=RIGHT(LEFT($A$2,7),2)&amp;LEFT($A$66,4)&amp;$B$70&amp;D$3,CertBen))+SUM(IF(CertFund&amp;CertProg&amp;CertObj&amp;CertGrant=RIGHT(LEFT($A$2,7),2)&amp;LEFT($A$67,4)&amp;$B$70&amp;D$3,CertBen))+SUM(IF(CertFund&amp;CertProg&amp;CertObj&amp;CertGrant=RIGHT(LEFT($A$2,7),2)&amp;LEFT($A$68,4)&amp;$B$70&amp;D$3,CertBen))+SUM(IF(CertFund&amp;CertProg&amp;CertObj&amp;CertGrant=RIGHT(LEFT($A$2,7),2)&amp;LEFT($A$69,4)&amp;$B$70&amp;D$3,CertBen))</f>
        <v>0</v>
      </c>
      <c r="E72" s="528">
        <f t="array" ref="E72">SUM(IF(CertFund&amp;CertProg&amp;CertObj&amp;CertGrant=RIGHT(LEFT($A$2,7),2)&amp;LEFT($A$63,4)&amp;$B$70&amp;E$3,CertBen))+SUM(IF(CertFund&amp;CertProg&amp;CertObj&amp;CertGrant=RIGHT(LEFT($A$2,7),2)&amp;LEFT($A$64,4)&amp;$B$70&amp;E$3,CertBen))+SUM(IF(CertFund&amp;CertProg&amp;CertObj&amp;CertGrant=RIGHT(LEFT($A$2,7),2)&amp;LEFT($A$65,4)&amp;$B$70&amp;E$3,CertBen))+SUM(IF(CertFund&amp;CertProg&amp;CertObj&amp;CertGrant=RIGHT(LEFT($A$2,7),2)&amp;LEFT($A$66,4)&amp;$B$70&amp;E$3,CertBen))+SUM(IF(CertFund&amp;CertProg&amp;CertObj&amp;CertGrant=RIGHT(LEFT($A$2,7),2)&amp;LEFT($A$67,4)&amp;$B$70&amp;E$3,CertBen))+SUM(IF(CertFund&amp;CertProg&amp;CertObj&amp;CertGrant=RIGHT(LEFT($A$2,7),2)&amp;LEFT($A$68,4)&amp;$B$70&amp;E$3,CertBen))+SUM(IF(CertFund&amp;CertProg&amp;CertObj&amp;CertGrant=RIGHT(LEFT($A$2,7),2)&amp;LEFT($A$69,4)&amp;$B$70&amp;E$3,CertBen))</f>
        <v>0</v>
      </c>
      <c r="F72" s="528">
        <f t="array" ref="F72">SUM(IF(CertFund&amp;CertProg&amp;CertObj&amp;CertGrant=RIGHT(LEFT($A$2,7),2)&amp;LEFT($A$63,4)&amp;$B$70&amp;F$3,CertBen))+SUM(IF(CertFund&amp;CertProg&amp;CertObj&amp;CertGrant=RIGHT(LEFT($A$2,7),2)&amp;LEFT($A$64,4)&amp;$B$70&amp;F$3,CertBen))+SUM(IF(CertFund&amp;CertProg&amp;CertObj&amp;CertGrant=RIGHT(LEFT($A$2,7),2)&amp;LEFT($A$65,4)&amp;$B$70&amp;F$3,CertBen))+SUM(IF(CertFund&amp;CertProg&amp;CertObj&amp;CertGrant=RIGHT(LEFT($A$2,7),2)&amp;LEFT($A$66,4)&amp;$B$70&amp;F$3,CertBen))+SUM(IF(CertFund&amp;CertProg&amp;CertObj&amp;CertGrant=RIGHT(LEFT($A$2,7),2)&amp;LEFT($A$67,4)&amp;$B$70&amp;F$3,CertBen))+SUM(IF(CertFund&amp;CertProg&amp;CertObj&amp;CertGrant=RIGHT(LEFT($A$2,7),2)&amp;LEFT($A$68,4)&amp;$B$70&amp;F$3,CertBen))+SUM(IF(CertFund&amp;CertProg&amp;CertObj&amp;CertGrant=RIGHT(LEFT($A$2,7),2)&amp;LEFT($A$69,4)&amp;$B$70&amp;F$3,CertBen))</f>
        <v>0</v>
      </c>
      <c r="G72" s="528">
        <f t="array" ref="G72">SUM(IF(CertFund&amp;CertProg&amp;CertObj&amp;CertGrant=RIGHT(LEFT($A$2,7),2)&amp;LEFT($A$63,4)&amp;$B$70&amp;G$3,CertBen))+SUM(IF(CertFund&amp;CertProg&amp;CertObj&amp;CertGrant=RIGHT(LEFT($A$2,7),2)&amp;LEFT($A$64,4)&amp;$B$70&amp;G$3,CertBen))+SUM(IF(CertFund&amp;CertProg&amp;CertObj&amp;CertGrant=RIGHT(LEFT($A$2,7),2)&amp;LEFT($A$65,4)&amp;$B$70&amp;G$3,CertBen))+SUM(IF(CertFund&amp;CertProg&amp;CertObj&amp;CertGrant=RIGHT(LEFT($A$2,7),2)&amp;LEFT($A$66,4)&amp;$B$70&amp;G$3,CertBen))+SUM(IF(CertFund&amp;CertProg&amp;CertObj&amp;CertGrant=RIGHT(LEFT($A$2,7),2)&amp;LEFT($A$67,4)&amp;$B$70&amp;G$3,CertBen))+SUM(IF(CertFund&amp;CertProg&amp;CertObj&amp;CertGrant=RIGHT(LEFT($A$2,7),2)&amp;LEFT($A$68,4)&amp;$B$70&amp;G$3,CertBen))+SUM(IF(CertFund&amp;CertProg&amp;CertObj&amp;CertGrant=RIGHT(LEFT($A$2,7),2)&amp;LEFT($A$69,4)&amp;$B$70&amp;G$3,CertBen))</f>
        <v>0</v>
      </c>
      <c r="H72" s="528">
        <f t="array" ref="H72">SUM(IF(CertFund&amp;CertProg&amp;CertObj&amp;CertGrant=RIGHT(LEFT($A$2,7),2)&amp;LEFT($A$63,4)&amp;$B$70&amp;H$3,CertBen))+SUM(IF(CertFund&amp;CertProg&amp;CertObj&amp;CertGrant=RIGHT(LEFT($A$2,7),2)&amp;LEFT($A$64,4)&amp;$B$70&amp;H$3,CertBen))+SUM(IF(CertFund&amp;CertProg&amp;CertObj&amp;CertGrant=RIGHT(LEFT($A$2,7),2)&amp;LEFT($A$65,4)&amp;$B$70&amp;H$3,CertBen))+SUM(IF(CertFund&amp;CertProg&amp;CertObj&amp;CertGrant=RIGHT(LEFT($A$2,7),2)&amp;LEFT($A$66,4)&amp;$B$70&amp;H$3,CertBen))+SUM(IF(CertFund&amp;CertProg&amp;CertObj&amp;CertGrant=RIGHT(LEFT($A$2,7),2)&amp;LEFT($A$67,4)&amp;$B$70&amp;H$3,CertBen))+SUM(IF(CertFund&amp;CertProg&amp;CertObj&amp;CertGrant=RIGHT(LEFT($A$2,7),2)&amp;LEFT($A$68,4)&amp;$B$70&amp;H$3,CertBen))+SUM(IF(CertFund&amp;CertProg&amp;CertObj&amp;CertGrant=RIGHT(LEFT($A$2,7),2)&amp;LEFT($A$69,4)&amp;$B$70&amp;H$3,CertBen))</f>
        <v>0</v>
      </c>
      <c r="I72" s="528">
        <f t="array" ref="I72">SUM(IF(CertFund&amp;CertProg&amp;CertObj&amp;CertGrant=RIGHT(LEFT($A$2,7),2)&amp;LEFT($A$63,4)&amp;$B$70&amp;I$3,CertBen))+SUM(IF(CertFund&amp;CertProg&amp;CertObj&amp;CertGrant=RIGHT(LEFT($A$2,7),2)&amp;LEFT($A$64,4)&amp;$B$70&amp;I$3,CertBen))+SUM(IF(CertFund&amp;CertProg&amp;CertObj&amp;CertGrant=RIGHT(LEFT($A$2,7),2)&amp;LEFT($A$65,4)&amp;$B$70&amp;I$3,CertBen))+SUM(IF(CertFund&amp;CertProg&amp;CertObj&amp;CertGrant=RIGHT(LEFT($A$2,7),2)&amp;LEFT($A$66,4)&amp;$B$70&amp;I$3,CertBen))+SUM(IF(CertFund&amp;CertProg&amp;CertObj&amp;CertGrant=RIGHT(LEFT($A$2,7),2)&amp;LEFT($A$67,4)&amp;$B$70&amp;I$3,CertBen))+SUM(IF(CertFund&amp;CertProg&amp;CertObj&amp;CertGrant=RIGHT(LEFT($A$2,7),2)&amp;LEFT($A$68,4)&amp;$B$70&amp;I$3,CertBen))+SUM(IF(CertFund&amp;CertProg&amp;CertObj&amp;CertGrant=RIGHT(LEFT($A$2,7),2)&amp;LEFT($A$69,4)&amp;$B$70&amp;I$3,CertBen))</f>
        <v>0</v>
      </c>
      <c r="J72" s="528">
        <f t="array" ref="J72">SUM(IF(CertFund&amp;CertProg&amp;CertObj&amp;CertGrant=RIGHT(LEFT($A$2,7),2)&amp;LEFT($A$63,4)&amp;$B$70&amp;J$3,CertBen))+SUM(IF(CertFund&amp;CertProg&amp;CertObj&amp;CertGrant=RIGHT(LEFT($A$2,7),2)&amp;LEFT($A$64,4)&amp;$B$70&amp;J$3,CertBen))+SUM(IF(CertFund&amp;CertProg&amp;CertObj&amp;CertGrant=RIGHT(LEFT($A$2,7),2)&amp;LEFT($A$65,4)&amp;$B$70&amp;J$3,CertBen))+SUM(IF(CertFund&amp;CertProg&amp;CertObj&amp;CertGrant=RIGHT(LEFT($A$2,7),2)&amp;LEFT($A$66,4)&amp;$B$70&amp;J$3,CertBen))+SUM(IF(CertFund&amp;CertProg&amp;CertObj&amp;CertGrant=RIGHT(LEFT($A$2,7),2)&amp;LEFT($A$67,4)&amp;$B$70&amp;J$3,CertBen))+SUM(IF(CertFund&amp;CertProg&amp;CertObj&amp;CertGrant=RIGHT(LEFT($A$2,7),2)&amp;LEFT($A$68,4)&amp;$B$70&amp;J$3,CertBen))+SUM(IF(CertFund&amp;CertProg&amp;CertObj&amp;CertGrant=RIGHT(LEFT($A$2,7),2)&amp;LEFT($A$69,4)&amp;$B$70&amp;J$3,CertBen))</f>
        <v>0</v>
      </c>
      <c r="K72" s="528">
        <f t="array" ref="K72">SUM(IF(CertFund&amp;CertProg&amp;CertObj&amp;CertGrant=RIGHT(LEFT($A$2,7),2)&amp;LEFT($A$63,4)&amp;$B$70&amp;K$3,CertBen))+SUM(IF(CertFund&amp;CertProg&amp;CertObj&amp;CertGrant=RIGHT(LEFT($A$2,7),2)&amp;LEFT($A$64,4)&amp;$B$70&amp;K$3,CertBen))+SUM(IF(CertFund&amp;CertProg&amp;CertObj&amp;CertGrant=RIGHT(LEFT($A$2,7),2)&amp;LEFT($A$65,4)&amp;$B$70&amp;K$3,CertBen))+SUM(IF(CertFund&amp;CertProg&amp;CertObj&amp;CertGrant=RIGHT(LEFT($A$2,7),2)&amp;LEFT($A$66,4)&amp;$B$70&amp;K$3,CertBen))+SUM(IF(CertFund&amp;CertProg&amp;CertObj&amp;CertGrant=RIGHT(LEFT($A$2,7),2)&amp;LEFT($A$67,4)&amp;$B$70&amp;K$3,CertBen))+SUM(IF(CertFund&amp;CertProg&amp;CertObj&amp;CertGrant=RIGHT(LEFT($A$2,7),2)&amp;LEFT($A$68,4)&amp;$B$70&amp;K$3,CertBen))+SUM(IF(CertFund&amp;CertProg&amp;CertObj&amp;CertGrant=RIGHT(LEFT($A$2,7),2)&amp;LEFT($A$69,4)&amp;$B$70&amp;K$3,CertBen))</f>
        <v>0</v>
      </c>
      <c r="L72" s="528">
        <f t="array" ref="L72">SUM(IF(CertFund&amp;CertProg&amp;CertObj&amp;CertGrant=RIGHT(LEFT($A$2,7),2)&amp;LEFT($A$63,4)&amp;$B$70&amp;L$3,CertBen))+SUM(IF(CertFund&amp;CertProg&amp;CertObj&amp;CertGrant=RIGHT(LEFT($A$2,7),2)&amp;LEFT($A$64,4)&amp;$B$70&amp;L$3,CertBen))+SUM(IF(CertFund&amp;CertProg&amp;CertObj&amp;CertGrant=RIGHT(LEFT($A$2,7),2)&amp;LEFT($A$65,4)&amp;$B$70&amp;L$3,CertBen))+SUM(IF(CertFund&amp;CertProg&amp;CertObj&amp;CertGrant=RIGHT(LEFT($A$2,7),2)&amp;LEFT($A$66,4)&amp;$B$70&amp;L$3,CertBen))+SUM(IF(CertFund&amp;CertProg&amp;CertObj&amp;CertGrant=RIGHT(LEFT($A$2,7),2)&amp;LEFT($A$67,4)&amp;$B$70&amp;L$3,CertBen))+SUM(IF(CertFund&amp;CertProg&amp;CertObj&amp;CertGrant=RIGHT(LEFT($A$2,7),2)&amp;LEFT($A$68,4)&amp;$B$70&amp;L$3,CertBen))+SUM(IF(CertFund&amp;CertProg&amp;CertObj&amp;CertGrant=RIGHT(LEFT($A$2,7),2)&amp;LEFT($A$69,4)&amp;$B$70&amp;L$3,CertBen))</f>
        <v>0</v>
      </c>
      <c r="M72" s="528">
        <f t="array" ref="M72">SUM(IF(CertFund&amp;CertProg&amp;CertObj&amp;CertGrant=RIGHT(LEFT($A$2,7),2)&amp;LEFT($A$63,4)&amp;$B$70&amp;M$3,CertBen))+SUM(IF(CertFund&amp;CertProg&amp;CertObj&amp;CertGrant=RIGHT(LEFT($A$2,7),2)&amp;LEFT($A$64,4)&amp;$B$70&amp;M$3,CertBen))+SUM(IF(CertFund&amp;CertProg&amp;CertObj&amp;CertGrant=RIGHT(LEFT($A$2,7),2)&amp;LEFT($A$65,4)&amp;$B$70&amp;M$3,CertBen))+SUM(IF(CertFund&amp;CertProg&amp;CertObj&amp;CertGrant=RIGHT(LEFT($A$2,7),2)&amp;LEFT($A$66,4)&amp;$B$70&amp;M$3,CertBen))+SUM(IF(CertFund&amp;CertProg&amp;CertObj&amp;CertGrant=RIGHT(LEFT($A$2,7),2)&amp;LEFT($A$67,4)&amp;$B$70&amp;M$3,CertBen))+SUM(IF(CertFund&amp;CertProg&amp;CertObj&amp;CertGrant=RIGHT(LEFT($A$2,7),2)&amp;LEFT($A$68,4)&amp;$B$70&amp;M$3,CertBen))+SUM(IF(CertFund&amp;CertProg&amp;CertObj&amp;CertGrant=RIGHT(LEFT($A$2,7),2)&amp;LEFT($A$69,4)&amp;$B$70&amp;M$3,CertBen))</f>
        <v>0</v>
      </c>
      <c r="N72" s="528">
        <f t="array" ref="N72">SUM(IF(CertFund&amp;CertProg&amp;CertObj&amp;CertGrant=RIGHT(LEFT($A$2,7),2)&amp;LEFT($A$63,4)&amp;$B$70&amp;N$3,CertBen))+SUM(IF(CertFund&amp;CertProg&amp;CertObj&amp;CertGrant=RIGHT(LEFT($A$2,7),2)&amp;LEFT($A$64,4)&amp;$B$70&amp;N$3,CertBen))+SUM(IF(CertFund&amp;CertProg&amp;CertObj&amp;CertGrant=RIGHT(LEFT($A$2,7),2)&amp;LEFT($A$65,4)&amp;$B$70&amp;N$3,CertBen))+SUM(IF(CertFund&amp;CertProg&amp;CertObj&amp;CertGrant=RIGHT(LEFT($A$2,7),2)&amp;LEFT($A$66,4)&amp;$B$70&amp;N$3,CertBen))+SUM(IF(CertFund&amp;CertProg&amp;CertObj&amp;CertGrant=RIGHT(LEFT($A$2,7),2)&amp;LEFT($A$67,4)&amp;$B$70&amp;N$3,CertBen))+SUM(IF(CertFund&amp;CertProg&amp;CertObj&amp;CertGrant=RIGHT(LEFT($A$2,7),2)&amp;LEFT($A$68,4)&amp;$B$70&amp;N$3,CertBen))+SUM(IF(CertFund&amp;CertProg&amp;CertObj&amp;CertGrant=RIGHT(LEFT($A$2,7),2)&amp;LEFT($A$69,4)&amp;$B$70&amp;N$3,CertBen))</f>
        <v>0</v>
      </c>
      <c r="O72" s="528">
        <f t="array" ref="O72">SUM(IF(CertFund&amp;CertProg&amp;CertObj&amp;CertGrant=RIGHT(LEFT($A$2,7),2)&amp;LEFT($A$63,4)&amp;$B$70&amp;O$3,CertBen))+SUM(IF(CertFund&amp;CertProg&amp;CertObj&amp;CertGrant=RIGHT(LEFT($A$2,7),2)&amp;LEFT($A$64,4)&amp;$B$70&amp;O$3,CertBen))+SUM(IF(CertFund&amp;CertProg&amp;CertObj&amp;CertGrant=RIGHT(LEFT($A$2,7),2)&amp;LEFT($A$65,4)&amp;$B$70&amp;O$3,CertBen))+SUM(IF(CertFund&amp;CertProg&amp;CertObj&amp;CertGrant=RIGHT(LEFT($A$2,7),2)&amp;LEFT($A$66,4)&amp;$B$70&amp;O$3,CertBen))+SUM(IF(CertFund&amp;CertProg&amp;CertObj&amp;CertGrant=RIGHT(LEFT($A$2,7),2)&amp;LEFT($A$67,4)&amp;$B$70&amp;O$3,CertBen))+SUM(IF(CertFund&amp;CertProg&amp;CertObj&amp;CertGrant=RIGHT(LEFT($A$2,7),2)&amp;LEFT($A$68,4)&amp;$B$70&amp;O$3,CertBen))+SUM(IF(CertFund&amp;CertProg&amp;CertObj&amp;CertGrant=RIGHT(LEFT($A$2,7),2)&amp;LEFT($A$69,4)&amp;$B$70&amp;O$3,CertBen))</f>
        <v>0</v>
      </c>
      <c r="P72" s="528">
        <f t="array" ref="P72">SUM(IF(CertFund&amp;CertProg&amp;CertObj&amp;CertGrant=RIGHT(LEFT($A$2,7),2)&amp;LEFT($A$63,4)&amp;$B$70&amp;P$3,CertBen))+SUM(IF(CertFund&amp;CertProg&amp;CertObj&amp;CertGrant=RIGHT(LEFT($A$2,7),2)&amp;LEFT($A$64,4)&amp;$B$70&amp;P$3,CertBen))+SUM(IF(CertFund&amp;CertProg&amp;CertObj&amp;CertGrant=RIGHT(LEFT($A$2,7),2)&amp;LEFT($A$65,4)&amp;$B$70&amp;P$3,CertBen))+SUM(IF(CertFund&amp;CertProg&amp;CertObj&amp;CertGrant=RIGHT(LEFT($A$2,7),2)&amp;LEFT($A$66,4)&amp;$B$70&amp;P$3,CertBen))+SUM(IF(CertFund&amp;CertProg&amp;CertObj&amp;CertGrant=RIGHT(LEFT($A$2,7),2)&amp;LEFT($A$67,4)&amp;$B$70&amp;P$3,CertBen))+SUM(IF(CertFund&amp;CertProg&amp;CertObj&amp;CertGrant=RIGHT(LEFT($A$2,7),2)&amp;LEFT($A$68,4)&amp;$B$70&amp;P$3,CertBen))+SUM(IF(CertFund&amp;CertProg&amp;CertObj&amp;CertGrant=RIGHT(LEFT($A$2,7),2)&amp;LEFT($A$69,4)&amp;$B$70&amp;P$3,CertBen))</f>
        <v>0</v>
      </c>
      <c r="Q72" s="528">
        <f t="array" ref="Q72">SUM(IF(CertFund&amp;CertProg&amp;CertObj&amp;CertGrant=RIGHT(LEFT($A$2,7),2)&amp;LEFT($A$63,4)&amp;$B$70&amp;Q$3,CertBen))+SUM(IF(CertFund&amp;CertProg&amp;CertObj&amp;CertGrant=RIGHT(LEFT($A$2,7),2)&amp;LEFT($A$64,4)&amp;$B$70&amp;Q$3,CertBen))+SUM(IF(CertFund&amp;CertProg&amp;CertObj&amp;CertGrant=RIGHT(LEFT($A$2,7),2)&amp;LEFT($A$65,4)&amp;$B$70&amp;Q$3,CertBen))+SUM(IF(CertFund&amp;CertProg&amp;CertObj&amp;CertGrant=RIGHT(LEFT($A$2,7),2)&amp;LEFT($A$66,4)&amp;$B$70&amp;Q$3,CertBen))+SUM(IF(CertFund&amp;CertProg&amp;CertObj&amp;CertGrant=RIGHT(LEFT($A$2,7),2)&amp;LEFT($A$67,4)&amp;$B$70&amp;Q$3,CertBen))+SUM(IF(CertFund&amp;CertProg&amp;CertObj&amp;CertGrant=RIGHT(LEFT($A$2,7),2)&amp;LEFT($A$68,4)&amp;$B$70&amp;Q$3,CertBen))+SUM(IF(CertFund&amp;CertProg&amp;CertObj&amp;CertGrant=RIGHT(LEFT($A$2,7),2)&amp;LEFT($A$69,4)&amp;$B$70&amp;Q$3,CertBen))</f>
        <v>0</v>
      </c>
      <c r="R72" s="528">
        <f t="array" ref="R72">SUM(IF(CertFund&amp;CertProg&amp;CertObj&amp;CertGrant=RIGHT(LEFT($A$2,7),2)&amp;LEFT($A$63,4)&amp;$B$70&amp;R$3,CertBen))+SUM(IF(CertFund&amp;CertProg&amp;CertObj&amp;CertGrant=RIGHT(LEFT($A$2,7),2)&amp;LEFT($A$64,4)&amp;$B$70&amp;R$3,CertBen))+SUM(IF(CertFund&amp;CertProg&amp;CertObj&amp;CertGrant=RIGHT(LEFT($A$2,7),2)&amp;LEFT($A$65,4)&amp;$B$70&amp;R$3,CertBen))+SUM(IF(CertFund&amp;CertProg&amp;CertObj&amp;CertGrant=RIGHT(LEFT($A$2,7),2)&amp;LEFT($A$66,4)&amp;$B$70&amp;R$3,CertBen))+SUM(IF(CertFund&amp;CertProg&amp;CertObj&amp;CertGrant=RIGHT(LEFT($A$2,7),2)&amp;LEFT($A$67,4)&amp;$B$70&amp;R$3,CertBen))+SUM(IF(CertFund&amp;CertProg&amp;CertObj&amp;CertGrant=RIGHT(LEFT($A$2,7),2)&amp;LEFT($A$68,4)&amp;$B$70&amp;R$3,CertBen))+SUM(IF(CertFund&amp;CertProg&amp;CertObj&amp;CertGrant=RIGHT(LEFT($A$2,7),2)&amp;LEFT($A$69,4)&amp;$B$70&amp;R$3,CertBen))</f>
        <v>0</v>
      </c>
      <c r="S72" s="528">
        <f t="array" ref="S72">SUM(IF(CertFund&amp;CertProg&amp;CertObj&amp;CertGrant=RIGHT(LEFT($A$2,7),2)&amp;LEFT($A$63,4)&amp;$B$70&amp;S$3,CertBen))+SUM(IF(CertFund&amp;CertProg&amp;CertObj&amp;CertGrant=RIGHT(LEFT($A$2,7),2)&amp;LEFT($A$64,4)&amp;$B$70&amp;S$3,CertBen))+SUM(IF(CertFund&amp;CertProg&amp;CertObj&amp;CertGrant=RIGHT(LEFT($A$2,7),2)&amp;LEFT($A$65,4)&amp;$B$70&amp;S$3,CertBen))+SUM(IF(CertFund&amp;CertProg&amp;CertObj&amp;CertGrant=RIGHT(LEFT($A$2,7),2)&amp;LEFT($A$66,4)&amp;$B$70&amp;S$3,CertBen))+SUM(IF(CertFund&amp;CertProg&amp;CertObj&amp;CertGrant=RIGHT(LEFT($A$2,7),2)&amp;LEFT($A$67,4)&amp;$B$70&amp;S$3,CertBen))+SUM(IF(CertFund&amp;CertProg&amp;CertObj&amp;CertGrant=RIGHT(LEFT($A$2,7),2)&amp;LEFT($A$68,4)&amp;$B$70&amp;S$3,CertBen))+SUM(IF(CertFund&amp;CertProg&amp;CertObj&amp;CertGrant=RIGHT(LEFT($A$2,7),2)&amp;LEFT($A$69,4)&amp;$B$70&amp;S$3,CertBen))</f>
        <v>0</v>
      </c>
      <c r="T72" s="528">
        <f t="array" ref="T72">SUM(IF(CertFund&amp;CertProg&amp;CertObj&amp;CertGrant=RIGHT(LEFT($A$2,7),2)&amp;LEFT($A$63,4)&amp;$B$70&amp;T$3,CertBen))+SUM(IF(CertFund&amp;CertProg&amp;CertObj&amp;CertGrant=RIGHT(LEFT($A$2,7),2)&amp;LEFT($A$64,4)&amp;$B$70&amp;T$3,CertBen))+SUM(IF(CertFund&amp;CertProg&amp;CertObj&amp;CertGrant=RIGHT(LEFT($A$2,7),2)&amp;LEFT($A$65,4)&amp;$B$70&amp;T$3,CertBen))+SUM(IF(CertFund&amp;CertProg&amp;CertObj&amp;CertGrant=RIGHT(LEFT($A$2,7),2)&amp;LEFT($A$66,4)&amp;$B$70&amp;T$3,CertBen))+SUM(IF(CertFund&amp;CertProg&amp;CertObj&amp;CertGrant=RIGHT(LEFT($A$2,7),2)&amp;LEFT($A$67,4)&amp;$B$70&amp;T$3,CertBen))+SUM(IF(CertFund&amp;CertProg&amp;CertObj&amp;CertGrant=RIGHT(LEFT($A$2,7),2)&amp;LEFT($A$68,4)&amp;$B$70&amp;T$3,CertBen))+SUM(IF(CertFund&amp;CertProg&amp;CertObj&amp;CertGrant=RIGHT(LEFT($A$2,7),2)&amp;LEFT($A$69,4)&amp;$B$70&amp;T$3,CertBen))</f>
        <v>0</v>
      </c>
      <c r="U72" s="528">
        <f t="array" ref="U72">SUM(IF(CertFund&amp;CertProg&amp;CertObj&amp;CertGrant=RIGHT(LEFT($A$2,7),2)&amp;LEFT($A$63,4)&amp;$B$70&amp;U$3,CertBen))+SUM(IF(CertFund&amp;CertProg&amp;CertObj&amp;CertGrant=RIGHT(LEFT($A$2,7),2)&amp;LEFT($A$64,4)&amp;$B$70&amp;U$3,CertBen))+SUM(IF(CertFund&amp;CertProg&amp;CertObj&amp;CertGrant=RIGHT(LEFT($A$2,7),2)&amp;LEFT($A$65,4)&amp;$B$70&amp;U$3,CertBen))+SUM(IF(CertFund&amp;CertProg&amp;CertObj&amp;CertGrant=RIGHT(LEFT($A$2,7),2)&amp;LEFT($A$66,4)&amp;$B$70&amp;U$3,CertBen))+SUM(IF(CertFund&amp;CertProg&amp;CertObj&amp;CertGrant=RIGHT(LEFT($A$2,7),2)&amp;LEFT($A$67,4)&amp;$B$70&amp;U$3,CertBen))+SUM(IF(CertFund&amp;CertProg&amp;CertObj&amp;CertGrant=RIGHT(LEFT($A$2,7),2)&amp;LEFT($A$68,4)&amp;$B$70&amp;U$3,CertBen))+SUM(IF(CertFund&amp;CertProg&amp;CertObj&amp;CertGrant=RIGHT(LEFT($A$2,7),2)&amp;LEFT($A$69,4)&amp;$B$70&amp;U$3,CertBen))</f>
        <v>0</v>
      </c>
      <c r="V72" s="528">
        <f t="array" ref="V72">SUM(IF(CertFund&amp;CertProg&amp;CertObj&amp;CertGrant=RIGHT(LEFT($A$2,7),2)&amp;LEFT($A$63,4)&amp;$B$70&amp;V$3,CertBen))+SUM(IF(CertFund&amp;CertProg&amp;CertObj&amp;CertGrant=RIGHT(LEFT($A$2,7),2)&amp;LEFT($A$64,4)&amp;$B$70&amp;V$3,CertBen))+SUM(IF(CertFund&amp;CertProg&amp;CertObj&amp;CertGrant=RIGHT(LEFT($A$2,7),2)&amp;LEFT($A$65,4)&amp;$B$70&amp;V$3,CertBen))+SUM(IF(CertFund&amp;CertProg&amp;CertObj&amp;CertGrant=RIGHT(LEFT($A$2,7),2)&amp;LEFT($A$66,4)&amp;$B$70&amp;V$3,CertBen))+SUM(IF(CertFund&amp;CertProg&amp;CertObj&amp;CertGrant=RIGHT(LEFT($A$2,7),2)&amp;LEFT($A$67,4)&amp;$B$70&amp;V$3,CertBen))+SUM(IF(CertFund&amp;CertProg&amp;CertObj&amp;CertGrant=RIGHT(LEFT($A$2,7),2)&amp;LEFT($A$68,4)&amp;$B$70&amp;V$3,CertBen))+SUM(IF(CertFund&amp;CertProg&amp;CertObj&amp;CertGrant=RIGHT(LEFT($A$2,7),2)&amp;LEFT($A$69,4)&amp;$B$70&amp;V$3,CertBen))</f>
        <v>0</v>
      </c>
      <c r="W72" s="528">
        <f t="array" ref="W72">SUM(IF(CertFund&amp;CertProg&amp;CertObj&amp;CertGrant=RIGHT(LEFT($A$2,7),2)&amp;LEFT($A$63,4)&amp;$B$70&amp;W$3,CertBen))+SUM(IF(CertFund&amp;CertProg&amp;CertObj&amp;CertGrant=RIGHT(LEFT($A$2,7),2)&amp;LEFT($A$64,4)&amp;$B$70&amp;W$3,CertBen))+SUM(IF(CertFund&amp;CertProg&amp;CertObj&amp;CertGrant=RIGHT(LEFT($A$2,7),2)&amp;LEFT($A$65,4)&amp;$B$70&amp;W$3,CertBen))+SUM(IF(CertFund&amp;CertProg&amp;CertObj&amp;CertGrant=RIGHT(LEFT($A$2,7),2)&amp;LEFT($A$66,4)&amp;$B$70&amp;W$3,CertBen))+SUM(IF(CertFund&amp;CertProg&amp;CertObj&amp;CertGrant=RIGHT(LEFT($A$2,7),2)&amp;LEFT($A$67,4)&amp;$B$70&amp;W$3,CertBen))+SUM(IF(CertFund&amp;CertProg&amp;CertObj&amp;CertGrant=RIGHT(LEFT($A$2,7),2)&amp;LEFT($A$68,4)&amp;$B$70&amp;W$3,CertBen))+SUM(IF(CertFund&amp;CertProg&amp;CertObj&amp;CertGrant=RIGHT(LEFT($A$2,7),2)&amp;LEFT($A$69,4)&amp;$B$70&amp;W$3,CertBen))</f>
        <v>0</v>
      </c>
      <c r="X72" s="341">
        <f t="shared" si="12"/>
        <v>0</v>
      </c>
    </row>
    <row r="73" spans="1:24" ht="11.25" x14ac:dyDescent="0.2">
      <c r="A73" s="350" t="s">
        <v>1439</v>
      </c>
      <c r="B73" s="588" t="s">
        <v>1578</v>
      </c>
      <c r="C73" s="312" t="s">
        <v>511</v>
      </c>
      <c r="D73" s="590">
        <v>0</v>
      </c>
      <c r="E73" s="590">
        <v>0</v>
      </c>
      <c r="F73" s="590">
        <v>0</v>
      </c>
      <c r="G73" s="590">
        <v>0</v>
      </c>
      <c r="H73" s="590">
        <v>0</v>
      </c>
      <c r="I73" s="590">
        <v>0</v>
      </c>
      <c r="J73" s="590">
        <v>0</v>
      </c>
      <c r="K73" s="590">
        <v>0</v>
      </c>
      <c r="L73" s="590">
        <v>0</v>
      </c>
      <c r="M73" s="590">
        <v>0</v>
      </c>
      <c r="N73" s="590">
        <v>0</v>
      </c>
      <c r="O73" s="590">
        <v>0</v>
      </c>
      <c r="P73" s="590">
        <v>0</v>
      </c>
      <c r="Q73" s="590">
        <v>0</v>
      </c>
      <c r="R73" s="590">
        <v>0</v>
      </c>
      <c r="S73" s="590">
        <v>0</v>
      </c>
      <c r="T73" s="590">
        <v>0</v>
      </c>
      <c r="U73" s="590">
        <v>0</v>
      </c>
      <c r="V73" s="590">
        <v>0</v>
      </c>
      <c r="W73" s="590">
        <v>0</v>
      </c>
      <c r="X73" s="341">
        <f t="shared" si="12"/>
        <v>0</v>
      </c>
    </row>
    <row r="74" spans="1:24" ht="11.25" x14ac:dyDescent="0.2">
      <c r="A74" s="350">
        <v>14</v>
      </c>
      <c r="B74" s="588" t="s">
        <v>1579</v>
      </c>
      <c r="C74" s="329" t="s">
        <v>273</v>
      </c>
      <c r="D74" s="590">
        <v>0</v>
      </c>
      <c r="E74" s="590">
        <v>0</v>
      </c>
      <c r="F74" s="590">
        <v>0</v>
      </c>
      <c r="G74" s="590">
        <v>0</v>
      </c>
      <c r="H74" s="590">
        <v>0</v>
      </c>
      <c r="I74" s="590">
        <v>0</v>
      </c>
      <c r="J74" s="590">
        <v>0</v>
      </c>
      <c r="K74" s="590">
        <v>0</v>
      </c>
      <c r="L74" s="591">
        <v>0</v>
      </c>
      <c r="M74" s="591">
        <v>0</v>
      </c>
      <c r="N74" s="591">
        <v>0</v>
      </c>
      <c r="O74" s="591">
        <v>0</v>
      </c>
      <c r="P74" s="591">
        <v>0</v>
      </c>
      <c r="Q74" s="591">
        <v>0</v>
      </c>
      <c r="R74" s="591">
        <v>0</v>
      </c>
      <c r="S74" s="591">
        <v>0</v>
      </c>
      <c r="T74" s="591">
        <v>0</v>
      </c>
      <c r="U74" s="591">
        <v>0</v>
      </c>
      <c r="V74" s="591">
        <v>0</v>
      </c>
      <c r="W74" s="591">
        <v>0</v>
      </c>
      <c r="X74" s="341">
        <f t="shared" si="12"/>
        <v>0</v>
      </c>
    </row>
    <row r="75" spans="1:24" ht="11.25" x14ac:dyDescent="0.2">
      <c r="A75" s="350">
        <v>15</v>
      </c>
      <c r="B75" s="588" t="s">
        <v>1580</v>
      </c>
      <c r="C75" s="327" t="s">
        <v>277</v>
      </c>
      <c r="D75" s="590">
        <v>0</v>
      </c>
      <c r="E75" s="590">
        <v>0</v>
      </c>
      <c r="F75" s="590">
        <v>0</v>
      </c>
      <c r="G75" s="590">
        <v>0</v>
      </c>
      <c r="H75" s="590">
        <v>0</v>
      </c>
      <c r="I75" s="590">
        <v>0</v>
      </c>
      <c r="J75" s="590">
        <v>0</v>
      </c>
      <c r="K75" s="590">
        <v>0</v>
      </c>
      <c r="L75" s="591">
        <v>0</v>
      </c>
      <c r="M75" s="591">
        <v>0</v>
      </c>
      <c r="N75" s="591">
        <v>0</v>
      </c>
      <c r="O75" s="591">
        <v>0</v>
      </c>
      <c r="P75" s="591">
        <v>0</v>
      </c>
      <c r="Q75" s="591">
        <v>0</v>
      </c>
      <c r="R75" s="591">
        <v>0</v>
      </c>
      <c r="S75" s="591">
        <v>0</v>
      </c>
      <c r="T75" s="591">
        <v>0</v>
      </c>
      <c r="U75" s="591">
        <v>0</v>
      </c>
      <c r="V75" s="591">
        <v>0</v>
      </c>
      <c r="W75" s="591">
        <v>0</v>
      </c>
      <c r="X75" s="341">
        <f t="shared" si="12"/>
        <v>0</v>
      </c>
    </row>
    <row r="76" spans="1:24" ht="11.25" x14ac:dyDescent="0.2">
      <c r="A76" s="350">
        <v>16</v>
      </c>
      <c r="B76" s="188" t="s">
        <v>1581</v>
      </c>
      <c r="C76" s="329" t="s">
        <v>274</v>
      </c>
      <c r="D76" s="590">
        <v>0</v>
      </c>
      <c r="E76" s="590">
        <v>0</v>
      </c>
      <c r="F76" s="590">
        <v>0</v>
      </c>
      <c r="G76" s="590">
        <v>0</v>
      </c>
      <c r="H76" s="590">
        <v>0</v>
      </c>
      <c r="I76" s="590">
        <v>0</v>
      </c>
      <c r="J76" s="590">
        <v>0</v>
      </c>
      <c r="K76" s="590">
        <v>0</v>
      </c>
      <c r="L76" s="591">
        <v>0</v>
      </c>
      <c r="M76" s="591">
        <v>0</v>
      </c>
      <c r="N76" s="591">
        <v>0</v>
      </c>
      <c r="O76" s="591">
        <v>0</v>
      </c>
      <c r="P76" s="591">
        <v>0</v>
      </c>
      <c r="Q76" s="591">
        <v>0</v>
      </c>
      <c r="R76" s="591">
        <v>0</v>
      </c>
      <c r="S76" s="591">
        <v>0</v>
      </c>
      <c r="T76" s="591">
        <v>0</v>
      </c>
      <c r="U76" s="591">
        <v>0</v>
      </c>
      <c r="V76" s="591">
        <v>0</v>
      </c>
      <c r="W76" s="591">
        <v>0</v>
      </c>
      <c r="X76" s="341">
        <f t="shared" si="12"/>
        <v>0</v>
      </c>
    </row>
    <row r="77" spans="1:24" ht="11.25" x14ac:dyDescent="0.2">
      <c r="A77" s="350">
        <v>17</v>
      </c>
      <c r="B77" s="188" t="s">
        <v>1582</v>
      </c>
      <c r="C77" s="327" t="s">
        <v>275</v>
      </c>
      <c r="D77" s="590">
        <v>0</v>
      </c>
      <c r="E77" s="590">
        <v>0</v>
      </c>
      <c r="F77" s="590">
        <v>0</v>
      </c>
      <c r="G77" s="590">
        <v>0</v>
      </c>
      <c r="H77" s="590">
        <v>0</v>
      </c>
      <c r="I77" s="590">
        <v>0</v>
      </c>
      <c r="J77" s="590">
        <v>0</v>
      </c>
      <c r="K77" s="590">
        <v>0</v>
      </c>
      <c r="L77" s="591">
        <v>0</v>
      </c>
      <c r="M77" s="591">
        <v>0</v>
      </c>
      <c r="N77" s="591">
        <v>0</v>
      </c>
      <c r="O77" s="591">
        <v>0</v>
      </c>
      <c r="P77" s="591">
        <v>0</v>
      </c>
      <c r="Q77" s="591">
        <v>0</v>
      </c>
      <c r="R77" s="591">
        <v>0</v>
      </c>
      <c r="S77" s="591">
        <v>0</v>
      </c>
      <c r="T77" s="591">
        <v>0</v>
      </c>
      <c r="U77" s="591">
        <v>0</v>
      </c>
      <c r="V77" s="591">
        <v>0</v>
      </c>
      <c r="W77" s="591">
        <v>0</v>
      </c>
      <c r="X77" s="341">
        <f t="shared" si="12"/>
        <v>0</v>
      </c>
    </row>
    <row r="78" spans="1:24" ht="11.25" x14ac:dyDescent="0.2">
      <c r="A78" s="350">
        <v>18</v>
      </c>
      <c r="B78" s="188" t="s">
        <v>1584</v>
      </c>
      <c r="C78" s="327" t="s">
        <v>276</v>
      </c>
      <c r="D78" s="590">
        <v>0</v>
      </c>
      <c r="E78" s="590">
        <v>0</v>
      </c>
      <c r="F78" s="590">
        <v>0</v>
      </c>
      <c r="G78" s="590">
        <v>0</v>
      </c>
      <c r="H78" s="590">
        <v>0</v>
      </c>
      <c r="I78" s="590">
        <v>0</v>
      </c>
      <c r="J78" s="590">
        <v>0</v>
      </c>
      <c r="K78" s="590">
        <v>0</v>
      </c>
      <c r="L78" s="591">
        <v>0</v>
      </c>
      <c r="M78" s="591">
        <v>0</v>
      </c>
      <c r="N78" s="591">
        <v>0</v>
      </c>
      <c r="O78" s="591">
        <v>0</v>
      </c>
      <c r="P78" s="591">
        <v>0</v>
      </c>
      <c r="Q78" s="591">
        <v>0</v>
      </c>
      <c r="R78" s="591">
        <v>0</v>
      </c>
      <c r="S78" s="591">
        <v>0</v>
      </c>
      <c r="T78" s="591">
        <v>0</v>
      </c>
      <c r="U78" s="591">
        <v>0</v>
      </c>
      <c r="V78" s="591">
        <v>0</v>
      </c>
      <c r="W78" s="591">
        <v>0</v>
      </c>
      <c r="X78" s="341">
        <f t="shared" si="12"/>
        <v>0</v>
      </c>
    </row>
    <row r="79" spans="1:24" ht="11.25" x14ac:dyDescent="0.2">
      <c r="A79" s="351">
        <v>19</v>
      </c>
      <c r="C79" s="352" t="s">
        <v>295</v>
      </c>
      <c r="D79" s="347">
        <f>SUM(D70:D78)</f>
        <v>0</v>
      </c>
      <c r="E79" s="347">
        <f t="shared" ref="E79:W79" si="13">SUM(E70:E78)</f>
        <v>0</v>
      </c>
      <c r="F79" s="347">
        <f t="shared" si="13"/>
        <v>0</v>
      </c>
      <c r="G79" s="347">
        <f t="shared" si="13"/>
        <v>0</v>
      </c>
      <c r="H79" s="347">
        <f t="shared" si="13"/>
        <v>0</v>
      </c>
      <c r="I79" s="347">
        <f t="shared" si="13"/>
        <v>0</v>
      </c>
      <c r="J79" s="347">
        <f t="shared" si="13"/>
        <v>0</v>
      </c>
      <c r="K79" s="347">
        <f t="shared" si="13"/>
        <v>0</v>
      </c>
      <c r="L79" s="347">
        <f t="shared" si="13"/>
        <v>0</v>
      </c>
      <c r="M79" s="347">
        <f t="shared" si="13"/>
        <v>0</v>
      </c>
      <c r="N79" s="347">
        <f t="shared" si="13"/>
        <v>0</v>
      </c>
      <c r="O79" s="347">
        <f t="shared" si="13"/>
        <v>0</v>
      </c>
      <c r="P79" s="347">
        <f t="shared" si="13"/>
        <v>0</v>
      </c>
      <c r="Q79" s="347">
        <f t="shared" si="13"/>
        <v>0</v>
      </c>
      <c r="R79" s="347">
        <f t="shared" si="13"/>
        <v>0</v>
      </c>
      <c r="S79" s="347">
        <f t="shared" si="13"/>
        <v>0</v>
      </c>
      <c r="T79" s="347">
        <f t="shared" si="13"/>
        <v>0</v>
      </c>
      <c r="U79" s="347">
        <f t="shared" si="13"/>
        <v>0</v>
      </c>
      <c r="V79" s="347">
        <f t="shared" si="13"/>
        <v>0</v>
      </c>
      <c r="W79" s="347">
        <f t="shared" si="13"/>
        <v>0</v>
      </c>
      <c r="X79" s="341">
        <f t="shared" si="12"/>
        <v>0</v>
      </c>
    </row>
    <row r="80" spans="1:24" ht="11.25" x14ac:dyDescent="0.2">
      <c r="A80" s="371" t="s">
        <v>1435</v>
      </c>
      <c r="B80" s="369"/>
      <c r="C80" s="348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</row>
    <row r="81" spans="1:24" ht="11.25" x14ac:dyDescent="0.2">
      <c r="A81" s="340">
        <v>20</v>
      </c>
      <c r="B81" s="588" t="s">
        <v>1577</v>
      </c>
      <c r="C81" s="312" t="s">
        <v>228</v>
      </c>
      <c r="D81" s="528">
        <f t="array" ref="D81">SUM(IF(CertFund&amp;CertProg&amp;CertObj&amp;CertGrant=RIGHT(LEFT($A$2,7),2)&amp;LEFT($A$80,4)&amp;$B$81&amp;D$3,CertSalary))</f>
        <v>0</v>
      </c>
      <c r="E81" s="528">
        <f t="array" ref="E81">SUM(IF(CertFund&amp;CertProg&amp;CertObj&amp;CertGrant=RIGHT(LEFT($A$2,7),2)&amp;LEFT($A$80,4)&amp;$B$81&amp;E$3,CertSalary))</f>
        <v>0</v>
      </c>
      <c r="F81" s="528">
        <f t="array" ref="F81">SUM(IF(CertFund&amp;CertProg&amp;CertObj&amp;CertGrant=RIGHT(LEFT($A$2,7),2)&amp;LEFT($A$80,4)&amp;$B$81&amp;F$3,CertSalary))</f>
        <v>0</v>
      </c>
      <c r="G81" s="528">
        <f t="array" ref="G81">SUM(IF(CertFund&amp;CertProg&amp;CertObj&amp;CertGrant=RIGHT(LEFT($A$2,7),2)&amp;LEFT($A$80,4)&amp;$B$81&amp;G$3,CertSalary))</f>
        <v>0</v>
      </c>
      <c r="H81" s="528">
        <f t="array" ref="H81">SUM(IF(CertFund&amp;CertProg&amp;CertObj&amp;CertGrant=RIGHT(LEFT($A$2,7),2)&amp;LEFT($A$80,4)&amp;$B$81&amp;H$3,CertSalary))</f>
        <v>0</v>
      </c>
      <c r="I81" s="528">
        <f t="array" ref="I81">SUM(IF(CertFund&amp;CertProg&amp;CertObj&amp;CertGrant=RIGHT(LEFT($A$2,7),2)&amp;LEFT($A$80,4)&amp;$B$81&amp;I$3,CertSalary))</f>
        <v>0</v>
      </c>
      <c r="J81" s="528">
        <f t="array" ref="J81">SUM(IF(CertFund&amp;CertProg&amp;CertObj&amp;CertGrant=RIGHT(LEFT($A$2,7),2)&amp;LEFT($A$80,4)&amp;$B$81&amp;J$3,CertSalary))</f>
        <v>0</v>
      </c>
      <c r="K81" s="528">
        <f t="array" ref="K81">SUM(IF(CertFund&amp;CertProg&amp;CertObj&amp;CertGrant=RIGHT(LEFT($A$2,7),2)&amp;LEFT($A$80,4)&amp;$B$81&amp;K$3,CertSalary))</f>
        <v>0</v>
      </c>
      <c r="L81" s="528">
        <f t="array" ref="L81">SUM(IF(CertFund&amp;CertProg&amp;CertObj&amp;CertGrant=RIGHT(LEFT($A$2,7),2)&amp;LEFT($A$80,4)&amp;$B$81&amp;L$3,CertSalary))</f>
        <v>0</v>
      </c>
      <c r="M81" s="528">
        <f t="array" ref="M81">SUM(IF(CertFund&amp;CertProg&amp;CertObj&amp;CertGrant=RIGHT(LEFT($A$2,7),2)&amp;LEFT($A$80,4)&amp;$B$81&amp;M$3,CertSalary))</f>
        <v>0</v>
      </c>
      <c r="N81" s="528">
        <f t="array" ref="N81">SUM(IF(CertFund&amp;CertProg&amp;CertObj&amp;CertGrant=RIGHT(LEFT($A$2,7),2)&amp;LEFT($A$80,4)&amp;$B$81&amp;N$3,CertSalary))</f>
        <v>0</v>
      </c>
      <c r="O81" s="528">
        <f t="array" ref="O81">SUM(IF(CertFund&amp;CertProg&amp;CertObj&amp;CertGrant=RIGHT(LEFT($A$2,7),2)&amp;LEFT($A$80,4)&amp;$B$81&amp;O$3,CertSalary))</f>
        <v>0</v>
      </c>
      <c r="P81" s="528">
        <f t="array" ref="P81">SUM(IF(CertFund&amp;CertProg&amp;CertObj&amp;CertGrant=RIGHT(LEFT($A$2,7),2)&amp;LEFT($A$80,4)&amp;$B$81&amp;P$3,CertSalary))</f>
        <v>0</v>
      </c>
      <c r="Q81" s="528">
        <f t="array" ref="Q81">SUM(IF(CertFund&amp;CertProg&amp;CertObj&amp;CertGrant=RIGHT(LEFT($A$2,7),2)&amp;LEFT($A$80,4)&amp;$B$81&amp;Q$3,CertSalary))</f>
        <v>0</v>
      </c>
      <c r="R81" s="528">
        <f t="array" ref="R81">SUM(IF(CertFund&amp;CertProg&amp;CertObj&amp;CertGrant=RIGHT(LEFT($A$2,7),2)&amp;LEFT($A$80,4)&amp;$B$81&amp;R$3,CertSalary))</f>
        <v>0</v>
      </c>
      <c r="S81" s="528">
        <f t="array" ref="S81">SUM(IF(CertFund&amp;CertProg&amp;CertObj&amp;CertGrant=RIGHT(LEFT($A$2,7),2)&amp;LEFT($A$80,4)&amp;$B$81&amp;S$3,CertSalary))</f>
        <v>0</v>
      </c>
      <c r="T81" s="528">
        <f t="array" ref="T81">SUM(IF(CertFund&amp;CertProg&amp;CertObj&amp;CertGrant=RIGHT(LEFT($A$2,7),2)&amp;LEFT($A$80,4)&amp;$B$81&amp;T$3,CertSalary))</f>
        <v>0</v>
      </c>
      <c r="U81" s="528">
        <f t="array" ref="U81">SUM(IF(CertFund&amp;CertProg&amp;CertObj&amp;CertGrant=RIGHT(LEFT($A$2,7),2)&amp;LEFT($A$80,4)&amp;$B$81&amp;U$3,CertSalary))</f>
        <v>0</v>
      </c>
      <c r="V81" s="528">
        <f t="array" ref="V81">SUM(IF(CertFund&amp;CertProg&amp;CertObj&amp;CertGrant=RIGHT(LEFT($A$2,7),2)&amp;LEFT($A$80,4)&amp;$B$81&amp;V$3,CertSalary))</f>
        <v>0</v>
      </c>
      <c r="W81" s="528">
        <f t="array" ref="W81">SUM(IF(CertFund&amp;CertProg&amp;CertObj&amp;CertGrant=RIGHT(LEFT($A$2,7),2)&amp;LEFT($A$80,4)&amp;$B$81&amp;W$3,CertSalary))</f>
        <v>0</v>
      </c>
      <c r="X81" s="347">
        <f t="shared" ref="X81:X89" si="14">SUM(D81:W81)</f>
        <v>0</v>
      </c>
    </row>
    <row r="82" spans="1:24" ht="11.25" x14ac:dyDescent="0.2">
      <c r="A82" s="340" t="s">
        <v>1440</v>
      </c>
      <c r="B82" s="588" t="s">
        <v>1577</v>
      </c>
      <c r="C82" s="312" t="s">
        <v>510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341">
        <f t="shared" si="14"/>
        <v>0</v>
      </c>
    </row>
    <row r="83" spans="1:24" ht="11.25" x14ac:dyDescent="0.2">
      <c r="A83" s="340">
        <v>21</v>
      </c>
      <c r="B83" s="588" t="s">
        <v>1578</v>
      </c>
      <c r="C83" s="312" t="s">
        <v>76</v>
      </c>
      <c r="D83" s="528">
        <f t="array" ref="D83">SUM(IF(CertFund&amp;CertProg&amp;CertObj&amp;CertGrant=RIGHT(LEFT($A$2,7),2)&amp;LEFT($A$80,4)&amp;$B$81&amp;D$3,CertBen))</f>
        <v>0</v>
      </c>
      <c r="E83" s="528">
        <f t="array" ref="E83">SUM(IF(CertFund&amp;CertProg&amp;CertObj&amp;CertGrant=RIGHT(LEFT($A$2,7),2)&amp;LEFT($A$80,4)&amp;$B$81&amp;E$3,CertBen))</f>
        <v>0</v>
      </c>
      <c r="F83" s="528">
        <f t="array" ref="F83">SUM(IF(CertFund&amp;CertProg&amp;CertObj&amp;CertGrant=RIGHT(LEFT($A$2,7),2)&amp;LEFT($A$80,4)&amp;$B$81&amp;F$3,CertBen))</f>
        <v>0</v>
      </c>
      <c r="G83" s="528">
        <f t="array" ref="G83">SUM(IF(CertFund&amp;CertProg&amp;CertObj&amp;CertGrant=RIGHT(LEFT($A$2,7),2)&amp;LEFT($A$80,4)&amp;$B$81&amp;G$3,CertBen))</f>
        <v>0</v>
      </c>
      <c r="H83" s="528">
        <f t="array" ref="H83">SUM(IF(CertFund&amp;CertProg&amp;CertObj&amp;CertGrant=RIGHT(LEFT($A$2,7),2)&amp;LEFT($A$80,4)&amp;$B$81&amp;H$3,CertBen))</f>
        <v>0</v>
      </c>
      <c r="I83" s="528">
        <f t="array" ref="I83">SUM(IF(CertFund&amp;CertProg&amp;CertObj&amp;CertGrant=RIGHT(LEFT($A$2,7),2)&amp;LEFT($A$80,4)&amp;$B$81&amp;I$3,CertBen))</f>
        <v>0</v>
      </c>
      <c r="J83" s="528">
        <f t="array" ref="J83">SUM(IF(CertFund&amp;CertProg&amp;CertObj&amp;CertGrant=RIGHT(LEFT($A$2,7),2)&amp;LEFT($A$80,4)&amp;$B$81&amp;J$3,CertBen))</f>
        <v>0</v>
      </c>
      <c r="K83" s="528">
        <f t="array" ref="K83">SUM(IF(CertFund&amp;CertProg&amp;CertObj&amp;CertGrant=RIGHT(LEFT($A$2,7),2)&amp;LEFT($A$80,4)&amp;$B$81&amp;K$3,CertBen))</f>
        <v>0</v>
      </c>
      <c r="L83" s="528">
        <f t="array" ref="L83">SUM(IF(CertFund&amp;CertProg&amp;CertObj&amp;CertGrant=RIGHT(LEFT($A$2,7),2)&amp;LEFT($A$80,4)&amp;$B$81&amp;L$3,CertBen))</f>
        <v>0</v>
      </c>
      <c r="M83" s="528">
        <f t="array" ref="M83">SUM(IF(CertFund&amp;CertProg&amp;CertObj&amp;CertGrant=RIGHT(LEFT($A$2,7),2)&amp;LEFT($A$80,4)&amp;$B$81&amp;M$3,CertBen))</f>
        <v>0</v>
      </c>
      <c r="N83" s="528">
        <f t="array" ref="N83">SUM(IF(CertFund&amp;CertProg&amp;CertObj&amp;CertGrant=RIGHT(LEFT($A$2,7),2)&amp;LEFT($A$80,4)&amp;$B$81&amp;N$3,CertBen))</f>
        <v>0</v>
      </c>
      <c r="O83" s="528">
        <f t="array" ref="O83">SUM(IF(CertFund&amp;CertProg&amp;CertObj&amp;CertGrant=RIGHT(LEFT($A$2,7),2)&amp;LEFT($A$80,4)&amp;$B$81&amp;O$3,CertBen))</f>
        <v>0</v>
      </c>
      <c r="P83" s="528">
        <f t="array" ref="P83">SUM(IF(CertFund&amp;CertProg&amp;CertObj&amp;CertGrant=RIGHT(LEFT($A$2,7),2)&amp;LEFT($A$80,4)&amp;$B$81&amp;P$3,CertBen))</f>
        <v>0</v>
      </c>
      <c r="Q83" s="528">
        <f t="array" ref="Q83">SUM(IF(CertFund&amp;CertProg&amp;CertObj&amp;CertGrant=RIGHT(LEFT($A$2,7),2)&amp;LEFT($A$80,4)&amp;$B$81&amp;Q$3,CertBen))</f>
        <v>0</v>
      </c>
      <c r="R83" s="528">
        <f t="array" ref="R83">SUM(IF(CertFund&amp;CertProg&amp;CertObj&amp;CertGrant=RIGHT(LEFT($A$2,7),2)&amp;LEFT($A$80,4)&amp;$B$81&amp;R$3,CertBen))</f>
        <v>0</v>
      </c>
      <c r="S83" s="528">
        <f t="array" ref="S83">SUM(IF(CertFund&amp;CertProg&amp;CertObj&amp;CertGrant=RIGHT(LEFT($A$2,7),2)&amp;LEFT($A$80,4)&amp;$B$81&amp;S$3,CertBen))</f>
        <v>0</v>
      </c>
      <c r="T83" s="528">
        <f t="array" ref="T83">SUM(IF(CertFund&amp;CertProg&amp;CertObj&amp;CertGrant=RIGHT(LEFT($A$2,7),2)&amp;LEFT($A$80,4)&amp;$B$81&amp;T$3,CertBen))</f>
        <v>0</v>
      </c>
      <c r="U83" s="528">
        <f t="array" ref="U83">SUM(IF(CertFund&amp;CertProg&amp;CertObj&amp;CertGrant=RIGHT(LEFT($A$2,7),2)&amp;LEFT($A$80,4)&amp;$B$81&amp;U$3,CertBen))</f>
        <v>0</v>
      </c>
      <c r="V83" s="528">
        <f t="array" ref="V83">SUM(IF(CertFund&amp;CertProg&amp;CertObj&amp;CertGrant=RIGHT(LEFT($A$2,7),2)&amp;LEFT($A$80,4)&amp;$B$81&amp;V$3,CertBen))</f>
        <v>0</v>
      </c>
      <c r="W83" s="528">
        <f t="array" ref="W83">SUM(IF(CertFund&amp;CertProg&amp;CertObj&amp;CertGrant=RIGHT(LEFT($A$2,7),2)&amp;LEFT($A$80,4)&amp;$B$81&amp;W$3,CertBen))</f>
        <v>0</v>
      </c>
      <c r="X83" s="341">
        <f t="shared" si="14"/>
        <v>0</v>
      </c>
    </row>
    <row r="84" spans="1:24" ht="11.25" x14ac:dyDescent="0.2">
      <c r="A84" s="340" t="s">
        <v>1441</v>
      </c>
      <c r="B84" s="588" t="s">
        <v>1578</v>
      </c>
      <c r="C84" s="312" t="s">
        <v>511</v>
      </c>
      <c r="D84" s="590">
        <v>0</v>
      </c>
      <c r="E84" s="590">
        <v>0</v>
      </c>
      <c r="F84" s="590">
        <v>0</v>
      </c>
      <c r="G84" s="590">
        <v>0</v>
      </c>
      <c r="H84" s="590">
        <v>0</v>
      </c>
      <c r="I84" s="590">
        <v>0</v>
      </c>
      <c r="J84" s="590">
        <v>0</v>
      </c>
      <c r="K84" s="590">
        <v>0</v>
      </c>
      <c r="L84" s="590">
        <v>0</v>
      </c>
      <c r="M84" s="590">
        <v>0</v>
      </c>
      <c r="N84" s="590">
        <v>0</v>
      </c>
      <c r="O84" s="590">
        <v>0</v>
      </c>
      <c r="P84" s="590">
        <v>0</v>
      </c>
      <c r="Q84" s="590">
        <v>0</v>
      </c>
      <c r="R84" s="590">
        <v>0</v>
      </c>
      <c r="S84" s="590">
        <v>0</v>
      </c>
      <c r="T84" s="590">
        <v>0</v>
      </c>
      <c r="U84" s="590">
        <v>0</v>
      </c>
      <c r="V84" s="590">
        <v>0</v>
      </c>
      <c r="W84" s="590">
        <v>0</v>
      </c>
      <c r="X84" s="341">
        <f t="shared" si="14"/>
        <v>0</v>
      </c>
    </row>
    <row r="85" spans="1:24" ht="11.25" x14ac:dyDescent="0.2">
      <c r="A85" s="340">
        <v>22</v>
      </c>
      <c r="B85" s="588" t="s">
        <v>1579</v>
      </c>
      <c r="C85" s="329" t="s">
        <v>273</v>
      </c>
      <c r="D85" s="590">
        <v>0</v>
      </c>
      <c r="E85" s="590">
        <v>0</v>
      </c>
      <c r="F85" s="590">
        <v>0</v>
      </c>
      <c r="G85" s="590">
        <v>0</v>
      </c>
      <c r="H85" s="590">
        <v>0</v>
      </c>
      <c r="I85" s="590">
        <v>0</v>
      </c>
      <c r="J85" s="590">
        <v>0</v>
      </c>
      <c r="K85" s="590">
        <v>0</v>
      </c>
      <c r="L85" s="591">
        <v>0</v>
      </c>
      <c r="M85" s="591">
        <v>0</v>
      </c>
      <c r="N85" s="591">
        <v>0</v>
      </c>
      <c r="O85" s="591">
        <v>0</v>
      </c>
      <c r="P85" s="591">
        <v>0</v>
      </c>
      <c r="Q85" s="591">
        <v>0</v>
      </c>
      <c r="R85" s="591">
        <v>0</v>
      </c>
      <c r="S85" s="591">
        <v>0</v>
      </c>
      <c r="T85" s="591">
        <v>0</v>
      </c>
      <c r="U85" s="591">
        <v>0</v>
      </c>
      <c r="V85" s="591">
        <v>0</v>
      </c>
      <c r="W85" s="591">
        <v>0</v>
      </c>
      <c r="X85" s="341">
        <f t="shared" si="14"/>
        <v>0</v>
      </c>
    </row>
    <row r="86" spans="1:24" ht="11.25" x14ac:dyDescent="0.2">
      <c r="A86" s="340">
        <v>23</v>
      </c>
      <c r="B86" s="188" t="s">
        <v>1581</v>
      </c>
      <c r="C86" s="329" t="s">
        <v>274</v>
      </c>
      <c r="D86" s="590">
        <v>0</v>
      </c>
      <c r="E86" s="590">
        <v>0</v>
      </c>
      <c r="F86" s="590">
        <v>0</v>
      </c>
      <c r="G86" s="590">
        <v>0</v>
      </c>
      <c r="H86" s="590">
        <v>0</v>
      </c>
      <c r="I86" s="590">
        <v>0</v>
      </c>
      <c r="J86" s="590">
        <v>0</v>
      </c>
      <c r="K86" s="590">
        <v>0</v>
      </c>
      <c r="L86" s="591">
        <v>0</v>
      </c>
      <c r="M86" s="591">
        <v>0</v>
      </c>
      <c r="N86" s="591">
        <v>0</v>
      </c>
      <c r="O86" s="591">
        <v>0</v>
      </c>
      <c r="P86" s="591">
        <v>0</v>
      </c>
      <c r="Q86" s="591">
        <v>0</v>
      </c>
      <c r="R86" s="591">
        <v>0</v>
      </c>
      <c r="S86" s="591">
        <v>0</v>
      </c>
      <c r="T86" s="591">
        <v>0</v>
      </c>
      <c r="U86" s="591">
        <v>0</v>
      </c>
      <c r="V86" s="591">
        <v>0</v>
      </c>
      <c r="W86" s="591">
        <v>0</v>
      </c>
      <c r="X86" s="341">
        <f t="shared" si="14"/>
        <v>0</v>
      </c>
    </row>
    <row r="87" spans="1:24" ht="11.25" x14ac:dyDescent="0.2">
      <c r="A87" s="340">
        <v>24</v>
      </c>
      <c r="B87" s="188" t="s">
        <v>1582</v>
      </c>
      <c r="C87" s="329" t="s">
        <v>275</v>
      </c>
      <c r="D87" s="590">
        <v>0</v>
      </c>
      <c r="E87" s="590">
        <v>0</v>
      </c>
      <c r="F87" s="590">
        <v>0</v>
      </c>
      <c r="G87" s="590">
        <v>0</v>
      </c>
      <c r="H87" s="590">
        <v>0</v>
      </c>
      <c r="I87" s="590">
        <v>0</v>
      </c>
      <c r="J87" s="590">
        <v>0</v>
      </c>
      <c r="K87" s="590">
        <v>0</v>
      </c>
      <c r="L87" s="591">
        <v>0</v>
      </c>
      <c r="M87" s="591">
        <v>0</v>
      </c>
      <c r="N87" s="591">
        <v>0</v>
      </c>
      <c r="O87" s="591">
        <v>0</v>
      </c>
      <c r="P87" s="591">
        <v>0</v>
      </c>
      <c r="Q87" s="591">
        <v>0</v>
      </c>
      <c r="R87" s="591">
        <v>0</v>
      </c>
      <c r="S87" s="591">
        <v>0</v>
      </c>
      <c r="T87" s="591">
        <v>0</v>
      </c>
      <c r="U87" s="591">
        <v>0</v>
      </c>
      <c r="V87" s="591">
        <v>0</v>
      </c>
      <c r="W87" s="591">
        <v>0</v>
      </c>
      <c r="X87" s="341">
        <f t="shared" si="14"/>
        <v>0</v>
      </c>
    </row>
    <row r="88" spans="1:24" ht="11.25" x14ac:dyDescent="0.2">
      <c r="A88" s="350">
        <v>25</v>
      </c>
      <c r="B88" s="188" t="s">
        <v>1584</v>
      </c>
      <c r="C88" s="327" t="s">
        <v>276</v>
      </c>
      <c r="D88" s="590">
        <v>0</v>
      </c>
      <c r="E88" s="590">
        <v>0</v>
      </c>
      <c r="F88" s="590">
        <v>0</v>
      </c>
      <c r="G88" s="590">
        <v>0</v>
      </c>
      <c r="H88" s="590">
        <v>0</v>
      </c>
      <c r="I88" s="590">
        <v>0</v>
      </c>
      <c r="J88" s="590">
        <v>0</v>
      </c>
      <c r="K88" s="590">
        <v>0</v>
      </c>
      <c r="L88" s="591">
        <v>0</v>
      </c>
      <c r="M88" s="591">
        <v>0</v>
      </c>
      <c r="N88" s="591">
        <v>0</v>
      </c>
      <c r="O88" s="591">
        <v>0</v>
      </c>
      <c r="P88" s="591">
        <v>0</v>
      </c>
      <c r="Q88" s="591">
        <v>0</v>
      </c>
      <c r="R88" s="591">
        <v>0</v>
      </c>
      <c r="S88" s="591">
        <v>0</v>
      </c>
      <c r="T88" s="591">
        <v>0</v>
      </c>
      <c r="U88" s="591">
        <v>0</v>
      </c>
      <c r="V88" s="591">
        <v>0</v>
      </c>
      <c r="W88" s="591">
        <v>0</v>
      </c>
      <c r="X88" s="341">
        <f t="shared" si="14"/>
        <v>0</v>
      </c>
    </row>
    <row r="89" spans="1:24" ht="11.25" x14ac:dyDescent="0.2">
      <c r="A89" s="340">
        <v>26</v>
      </c>
      <c r="C89" s="346" t="s">
        <v>296</v>
      </c>
      <c r="D89" s="347">
        <f>SUM(D81:D88)</f>
        <v>0</v>
      </c>
      <c r="E89" s="347">
        <f t="shared" ref="E89:W89" si="15">SUM(E81:E88)</f>
        <v>0</v>
      </c>
      <c r="F89" s="347">
        <f t="shared" si="15"/>
        <v>0</v>
      </c>
      <c r="G89" s="347">
        <f t="shared" si="15"/>
        <v>0</v>
      </c>
      <c r="H89" s="347">
        <f t="shared" si="15"/>
        <v>0</v>
      </c>
      <c r="I89" s="347">
        <f t="shared" si="15"/>
        <v>0</v>
      </c>
      <c r="J89" s="347">
        <f t="shared" si="15"/>
        <v>0</v>
      </c>
      <c r="K89" s="353">
        <f t="shared" si="15"/>
        <v>0</v>
      </c>
      <c r="L89" s="353">
        <f t="shared" si="15"/>
        <v>0</v>
      </c>
      <c r="M89" s="353">
        <f t="shared" si="15"/>
        <v>0</v>
      </c>
      <c r="N89" s="353">
        <f t="shared" si="15"/>
        <v>0</v>
      </c>
      <c r="O89" s="353">
        <f t="shared" si="15"/>
        <v>0</v>
      </c>
      <c r="P89" s="353">
        <f t="shared" si="15"/>
        <v>0</v>
      </c>
      <c r="Q89" s="353">
        <f t="shared" si="15"/>
        <v>0</v>
      </c>
      <c r="R89" s="353">
        <f t="shared" si="15"/>
        <v>0</v>
      </c>
      <c r="S89" s="353">
        <f t="shared" si="15"/>
        <v>0</v>
      </c>
      <c r="T89" s="353">
        <f t="shared" si="15"/>
        <v>0</v>
      </c>
      <c r="U89" s="353">
        <f t="shared" si="15"/>
        <v>0</v>
      </c>
      <c r="V89" s="353">
        <f t="shared" si="15"/>
        <v>0</v>
      </c>
      <c r="W89" s="353">
        <f t="shared" si="15"/>
        <v>0</v>
      </c>
      <c r="X89" s="341">
        <f t="shared" si="14"/>
        <v>0</v>
      </c>
    </row>
    <row r="90" spans="1:24" ht="11.25" x14ac:dyDescent="0.2">
      <c r="A90" s="371" t="s">
        <v>1444</v>
      </c>
      <c r="B90" s="369"/>
      <c r="C90" s="348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</row>
    <row r="91" spans="1:24" ht="11.25" x14ac:dyDescent="0.2">
      <c r="A91" s="371" t="s">
        <v>1436</v>
      </c>
      <c r="B91" s="369"/>
      <c r="C91" s="348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</row>
    <row r="92" spans="1:24" ht="11.25" x14ac:dyDescent="0.2">
      <c r="A92" s="371" t="s">
        <v>623</v>
      </c>
      <c r="B92" s="369"/>
      <c r="C92" s="348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</row>
    <row r="93" spans="1:24" ht="11.25" x14ac:dyDescent="0.2">
      <c r="A93" s="340">
        <v>27</v>
      </c>
      <c r="B93" s="588" t="s">
        <v>1577</v>
      </c>
      <c r="C93" s="312" t="s">
        <v>228</v>
      </c>
      <c r="D93" s="528">
        <f t="array" ref="D93">SUM(IF(CertFund&amp;CertProg&amp;CertObj&amp;CertGrant=RIGHT(LEFT($A$2,7),2)&amp;LEFT($A$90,4)&amp;$B$93&amp;D$3,CertSalary))+SUM(IF(CertFund&amp;CertProg&amp;CertObj&amp;CertGrant=RIGHT(LEFT($A$2,7),2)&amp;LEFT($A$91,4)&amp;$B$93&amp;D$3,CertSalary))+SUM(IF(CertFund&amp;CertProg&amp;CertObj&amp;CertGrant=RIGHT(LEFT($A$2,7),2)&amp;LEFT($A$92,4)&amp;$B$93&amp;D$3,CertSalary))</f>
        <v>0</v>
      </c>
      <c r="E93" s="528">
        <f t="array" ref="E93">SUM(IF(CertFund&amp;CertProg&amp;CertObj&amp;CertGrant=RIGHT(LEFT($A$2,7),2)&amp;LEFT($A$90,4)&amp;$B$93&amp;E$3,CertSalary))+SUM(IF(CertFund&amp;CertProg&amp;CertObj&amp;CertGrant=RIGHT(LEFT($A$2,7),2)&amp;LEFT($A$91,4)&amp;$B$93&amp;E$3,CertSalary))+SUM(IF(CertFund&amp;CertProg&amp;CertObj&amp;CertGrant=RIGHT(LEFT($A$2,7),2)&amp;LEFT($A$92,4)&amp;$B$93&amp;E$3,CertSalary))</f>
        <v>0</v>
      </c>
      <c r="F93" s="528">
        <f t="array" ref="F93">SUM(IF(CertFund&amp;CertProg&amp;CertObj&amp;CertGrant=RIGHT(LEFT($A$2,7),2)&amp;LEFT($A$90,4)&amp;$B$93&amp;F$3,CertSalary))+SUM(IF(CertFund&amp;CertProg&amp;CertObj&amp;CertGrant=RIGHT(LEFT($A$2,7),2)&amp;LEFT($A$91,4)&amp;$B$93&amp;F$3,CertSalary))+SUM(IF(CertFund&amp;CertProg&amp;CertObj&amp;CertGrant=RIGHT(LEFT($A$2,7),2)&amp;LEFT($A$92,4)&amp;$B$93&amp;F$3,CertSalary))</f>
        <v>0</v>
      </c>
      <c r="G93" s="528">
        <f t="array" ref="G93">SUM(IF(CertFund&amp;CertProg&amp;CertObj&amp;CertGrant=RIGHT(LEFT($A$2,7),2)&amp;LEFT($A$90,4)&amp;$B$93&amp;G$3,CertSalary))+SUM(IF(CertFund&amp;CertProg&amp;CertObj&amp;CertGrant=RIGHT(LEFT($A$2,7),2)&amp;LEFT($A$91,4)&amp;$B$93&amp;G$3,CertSalary))+SUM(IF(CertFund&amp;CertProg&amp;CertObj&amp;CertGrant=RIGHT(LEFT($A$2,7),2)&amp;LEFT($A$92,4)&amp;$B$93&amp;G$3,CertSalary))</f>
        <v>0</v>
      </c>
      <c r="H93" s="528">
        <f t="array" ref="H93">SUM(IF(CertFund&amp;CertProg&amp;CertObj&amp;CertGrant=RIGHT(LEFT($A$2,7),2)&amp;LEFT($A$90,4)&amp;$B$93&amp;H$3,CertSalary))+SUM(IF(CertFund&amp;CertProg&amp;CertObj&amp;CertGrant=RIGHT(LEFT($A$2,7),2)&amp;LEFT($A$91,4)&amp;$B$93&amp;H$3,CertSalary))+SUM(IF(CertFund&amp;CertProg&amp;CertObj&amp;CertGrant=RIGHT(LEFT($A$2,7),2)&amp;LEFT($A$92,4)&amp;$B$93&amp;H$3,CertSalary))</f>
        <v>0</v>
      </c>
      <c r="I93" s="528">
        <f t="array" ref="I93">SUM(IF(CertFund&amp;CertProg&amp;CertObj&amp;CertGrant=RIGHT(LEFT($A$2,7),2)&amp;LEFT($A$90,4)&amp;$B$93&amp;I$3,CertSalary))+SUM(IF(CertFund&amp;CertProg&amp;CertObj&amp;CertGrant=RIGHT(LEFT($A$2,7),2)&amp;LEFT($A$91,4)&amp;$B$93&amp;I$3,CertSalary))+SUM(IF(CertFund&amp;CertProg&amp;CertObj&amp;CertGrant=RIGHT(LEFT($A$2,7),2)&amp;LEFT($A$92,4)&amp;$B$93&amp;I$3,CertSalary))</f>
        <v>0</v>
      </c>
      <c r="J93" s="528">
        <f t="array" ref="J93">SUM(IF(CertFund&amp;CertProg&amp;CertObj&amp;CertGrant=RIGHT(LEFT($A$2,7),2)&amp;LEFT($A$90,4)&amp;$B$93&amp;J$3,CertSalary))+SUM(IF(CertFund&amp;CertProg&amp;CertObj&amp;CertGrant=RIGHT(LEFT($A$2,7),2)&amp;LEFT($A$91,4)&amp;$B$93&amp;J$3,CertSalary))+SUM(IF(CertFund&amp;CertProg&amp;CertObj&amp;CertGrant=RIGHT(LEFT($A$2,7),2)&amp;LEFT($A$92,4)&amp;$B$93&amp;J$3,CertSalary))</f>
        <v>0</v>
      </c>
      <c r="K93" s="528">
        <f t="array" ref="K93">SUM(IF(CertFund&amp;CertProg&amp;CertObj&amp;CertGrant=RIGHT(LEFT($A$2,7),2)&amp;LEFT($A$90,4)&amp;$B$93&amp;K$3,CertSalary))+SUM(IF(CertFund&amp;CertProg&amp;CertObj&amp;CertGrant=RIGHT(LEFT($A$2,7),2)&amp;LEFT($A$91,4)&amp;$B$93&amp;K$3,CertSalary))+SUM(IF(CertFund&amp;CertProg&amp;CertObj&amp;CertGrant=RIGHT(LEFT($A$2,7),2)&amp;LEFT($A$92,4)&amp;$B$93&amp;K$3,CertSalary))</f>
        <v>0</v>
      </c>
      <c r="L93" s="528">
        <f t="array" ref="L93">SUM(IF(CertFund&amp;CertProg&amp;CertObj&amp;CertGrant=RIGHT(LEFT($A$2,7),2)&amp;LEFT($A$90,4)&amp;$B$93&amp;L$3,CertSalary))+SUM(IF(CertFund&amp;CertProg&amp;CertObj&amp;CertGrant=RIGHT(LEFT($A$2,7),2)&amp;LEFT($A$91,4)&amp;$B$93&amp;L$3,CertSalary))+SUM(IF(CertFund&amp;CertProg&amp;CertObj&amp;CertGrant=RIGHT(LEFT($A$2,7),2)&amp;LEFT($A$92,4)&amp;$B$93&amp;L$3,CertSalary))</f>
        <v>0</v>
      </c>
      <c r="M93" s="528">
        <f t="array" ref="M93">SUM(IF(CertFund&amp;CertProg&amp;CertObj&amp;CertGrant=RIGHT(LEFT($A$2,7),2)&amp;LEFT($A$90,4)&amp;$B$93&amp;M$3,CertSalary))+SUM(IF(CertFund&amp;CertProg&amp;CertObj&amp;CertGrant=RIGHT(LEFT($A$2,7),2)&amp;LEFT($A$91,4)&amp;$B$93&amp;M$3,CertSalary))+SUM(IF(CertFund&amp;CertProg&amp;CertObj&amp;CertGrant=RIGHT(LEFT($A$2,7),2)&amp;LEFT($A$92,4)&amp;$B$93&amp;M$3,CertSalary))</f>
        <v>0</v>
      </c>
      <c r="N93" s="528">
        <f t="array" ref="N93">SUM(IF(CertFund&amp;CertProg&amp;CertObj&amp;CertGrant=RIGHT(LEFT($A$2,7),2)&amp;LEFT($A$90,4)&amp;$B$93&amp;N$3,CertSalary))+SUM(IF(CertFund&amp;CertProg&amp;CertObj&amp;CertGrant=RIGHT(LEFT($A$2,7),2)&amp;LEFT($A$91,4)&amp;$B$93&amp;N$3,CertSalary))+SUM(IF(CertFund&amp;CertProg&amp;CertObj&amp;CertGrant=RIGHT(LEFT($A$2,7),2)&amp;LEFT($A$92,4)&amp;$B$93&amp;N$3,CertSalary))</f>
        <v>0</v>
      </c>
      <c r="O93" s="528">
        <f t="array" ref="O93">SUM(IF(CertFund&amp;CertProg&amp;CertObj&amp;CertGrant=RIGHT(LEFT($A$2,7),2)&amp;LEFT($A$90,4)&amp;$B$93&amp;O$3,CertSalary))+SUM(IF(CertFund&amp;CertProg&amp;CertObj&amp;CertGrant=RIGHT(LEFT($A$2,7),2)&amp;LEFT($A$91,4)&amp;$B$93&amp;O$3,CertSalary))+SUM(IF(CertFund&amp;CertProg&amp;CertObj&amp;CertGrant=RIGHT(LEFT($A$2,7),2)&amp;LEFT($A$92,4)&amp;$B$93&amp;O$3,CertSalary))</f>
        <v>0</v>
      </c>
      <c r="P93" s="528">
        <f t="array" ref="P93">SUM(IF(CertFund&amp;CertProg&amp;CertObj&amp;CertGrant=RIGHT(LEFT($A$2,7),2)&amp;LEFT($A$90,4)&amp;$B$93&amp;P$3,CertSalary))+SUM(IF(CertFund&amp;CertProg&amp;CertObj&amp;CertGrant=RIGHT(LEFT($A$2,7),2)&amp;LEFT($A$91,4)&amp;$B$93&amp;P$3,CertSalary))+SUM(IF(CertFund&amp;CertProg&amp;CertObj&amp;CertGrant=RIGHT(LEFT($A$2,7),2)&amp;LEFT($A$92,4)&amp;$B$93&amp;P$3,CertSalary))</f>
        <v>0</v>
      </c>
      <c r="Q93" s="528">
        <f t="array" ref="Q93">SUM(IF(CertFund&amp;CertProg&amp;CertObj&amp;CertGrant=RIGHT(LEFT($A$2,7),2)&amp;LEFT($A$90,4)&amp;$B$93&amp;Q$3,CertSalary))+SUM(IF(CertFund&amp;CertProg&amp;CertObj&amp;CertGrant=RIGHT(LEFT($A$2,7),2)&amp;LEFT($A$91,4)&amp;$B$93&amp;Q$3,CertSalary))+SUM(IF(CertFund&amp;CertProg&amp;CertObj&amp;CertGrant=RIGHT(LEFT($A$2,7),2)&amp;LEFT($A$92,4)&amp;$B$93&amp;Q$3,CertSalary))</f>
        <v>0</v>
      </c>
      <c r="R93" s="528">
        <f t="array" ref="R93">SUM(IF(CertFund&amp;CertProg&amp;CertObj&amp;CertGrant=RIGHT(LEFT($A$2,7),2)&amp;LEFT($A$90,4)&amp;$B$93&amp;R$3,CertSalary))+SUM(IF(CertFund&amp;CertProg&amp;CertObj&amp;CertGrant=RIGHT(LEFT($A$2,7),2)&amp;LEFT($A$91,4)&amp;$B$93&amp;R$3,CertSalary))+SUM(IF(CertFund&amp;CertProg&amp;CertObj&amp;CertGrant=RIGHT(LEFT($A$2,7),2)&amp;LEFT($A$92,4)&amp;$B$93&amp;R$3,CertSalary))</f>
        <v>0</v>
      </c>
      <c r="S93" s="528">
        <f t="array" ref="S93">SUM(IF(CertFund&amp;CertProg&amp;CertObj&amp;CertGrant=RIGHT(LEFT($A$2,7),2)&amp;LEFT($A$90,4)&amp;$B$93&amp;S$3,CertSalary))+SUM(IF(CertFund&amp;CertProg&amp;CertObj&amp;CertGrant=RIGHT(LEFT($A$2,7),2)&amp;LEFT($A$91,4)&amp;$B$93&amp;S$3,CertSalary))+SUM(IF(CertFund&amp;CertProg&amp;CertObj&amp;CertGrant=RIGHT(LEFT($A$2,7),2)&amp;LEFT($A$92,4)&amp;$B$93&amp;S$3,CertSalary))</f>
        <v>0</v>
      </c>
      <c r="T93" s="528">
        <f t="array" ref="T93">SUM(IF(CertFund&amp;CertProg&amp;CertObj&amp;CertGrant=RIGHT(LEFT($A$2,7),2)&amp;LEFT($A$90,4)&amp;$B$93&amp;T$3,CertSalary))+SUM(IF(CertFund&amp;CertProg&amp;CertObj&amp;CertGrant=RIGHT(LEFT($A$2,7),2)&amp;LEFT($A$91,4)&amp;$B$93&amp;T$3,CertSalary))+SUM(IF(CertFund&amp;CertProg&amp;CertObj&amp;CertGrant=RIGHT(LEFT($A$2,7),2)&amp;LEFT($A$92,4)&amp;$B$93&amp;T$3,CertSalary))</f>
        <v>0</v>
      </c>
      <c r="U93" s="528">
        <f t="array" ref="U93">SUM(IF(CertFund&amp;CertProg&amp;CertObj&amp;CertGrant=RIGHT(LEFT($A$2,7),2)&amp;LEFT($A$90,4)&amp;$B$93&amp;U$3,CertSalary))+SUM(IF(CertFund&amp;CertProg&amp;CertObj&amp;CertGrant=RIGHT(LEFT($A$2,7),2)&amp;LEFT($A$91,4)&amp;$B$93&amp;U$3,CertSalary))+SUM(IF(CertFund&amp;CertProg&amp;CertObj&amp;CertGrant=RIGHT(LEFT($A$2,7),2)&amp;LEFT($A$92,4)&amp;$B$93&amp;U$3,CertSalary))</f>
        <v>0</v>
      </c>
      <c r="V93" s="528">
        <f t="array" ref="V93">SUM(IF(CertFund&amp;CertProg&amp;CertObj&amp;CertGrant=RIGHT(LEFT($A$2,7),2)&amp;LEFT($A$90,4)&amp;$B$93&amp;V$3,CertSalary))+SUM(IF(CertFund&amp;CertProg&amp;CertObj&amp;CertGrant=RIGHT(LEFT($A$2,7),2)&amp;LEFT($A$91,4)&amp;$B$93&amp;V$3,CertSalary))+SUM(IF(CertFund&amp;CertProg&amp;CertObj&amp;CertGrant=RIGHT(LEFT($A$2,7),2)&amp;LEFT($A$92,4)&amp;$B$93&amp;V$3,CertSalary))</f>
        <v>0</v>
      </c>
      <c r="W93" s="528">
        <f t="array" ref="W93">SUM(IF(CertFund&amp;CertProg&amp;CertObj&amp;CertGrant=RIGHT(LEFT($A$2,7),2)&amp;LEFT($A$90,4)&amp;$B$93&amp;W$3,CertSalary))+SUM(IF(CertFund&amp;CertProg&amp;CertObj&amp;CertGrant=RIGHT(LEFT($A$2,7),2)&amp;LEFT($A$91,4)&amp;$B$93&amp;W$3,CertSalary))+SUM(IF(CertFund&amp;CertProg&amp;CertObj&amp;CertGrant=RIGHT(LEFT($A$2,7),2)&amp;LEFT($A$92,4)&amp;$B$93&amp;W$3,CertSalary))</f>
        <v>0</v>
      </c>
      <c r="X93" s="347">
        <f t="shared" ref="X93:X102" si="16">SUM(D93:W93)</f>
        <v>0</v>
      </c>
    </row>
    <row r="94" spans="1:24" ht="11.25" x14ac:dyDescent="0.2">
      <c r="A94" s="340" t="s">
        <v>1442</v>
      </c>
      <c r="B94" s="588" t="s">
        <v>1577</v>
      </c>
      <c r="C94" s="312" t="s">
        <v>510</v>
      </c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147">
        <v>0</v>
      </c>
      <c r="J94" s="147">
        <v>0</v>
      </c>
      <c r="K94" s="147">
        <v>0</v>
      </c>
      <c r="L94" s="147">
        <v>0</v>
      </c>
      <c r="M94" s="147">
        <v>0</v>
      </c>
      <c r="N94" s="147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7">
        <v>0</v>
      </c>
      <c r="V94" s="147">
        <v>0</v>
      </c>
      <c r="W94" s="147">
        <v>0</v>
      </c>
      <c r="X94" s="341">
        <f t="shared" si="16"/>
        <v>0</v>
      </c>
    </row>
    <row r="95" spans="1:24" ht="11.25" x14ac:dyDescent="0.2">
      <c r="A95" s="340">
        <v>28</v>
      </c>
      <c r="B95" s="588" t="s">
        <v>1578</v>
      </c>
      <c r="C95" s="312" t="s">
        <v>76</v>
      </c>
      <c r="D95" s="528">
        <f t="array" ref="D95">SUM(IF(CertFund&amp;CertProg&amp;CertObj&amp;CertGrant=RIGHT(LEFT($A$2,7),2)&amp;LEFT($A$90,4)&amp;$B$93&amp;D$3,CertBen))+SUM(IF(CertFund&amp;CertProg&amp;CertObj&amp;CertGrant=RIGHT(LEFT($A$2,7),2)&amp;LEFT($A$91,4)&amp;$B$93&amp;D$3,CertBen))+SUM(IF(CertFund&amp;CertProg&amp;CertObj&amp;CertGrant=RIGHT(LEFT($A$2,7),2)&amp;LEFT($A$92,4)&amp;$B$93&amp;D$3,CertBen))</f>
        <v>0</v>
      </c>
      <c r="E95" s="528">
        <f t="array" ref="E95">SUM(IF(CertFund&amp;CertProg&amp;CertObj&amp;CertGrant=RIGHT(LEFT($A$2,7),2)&amp;LEFT($A$90,4)&amp;$B$93&amp;E$3,CertBen))+SUM(IF(CertFund&amp;CertProg&amp;CertObj&amp;CertGrant=RIGHT(LEFT($A$2,7),2)&amp;LEFT($A$91,4)&amp;$B$93&amp;E$3,CertBen))+SUM(IF(CertFund&amp;CertProg&amp;CertObj&amp;CertGrant=RIGHT(LEFT($A$2,7),2)&amp;LEFT($A$92,4)&amp;$B$93&amp;E$3,CertBen))</f>
        <v>0</v>
      </c>
      <c r="F95" s="528">
        <f t="array" ref="F95">SUM(IF(CertFund&amp;CertProg&amp;CertObj&amp;CertGrant=RIGHT(LEFT($A$2,7),2)&amp;LEFT($A$90,4)&amp;$B$93&amp;F$3,CertBen))+SUM(IF(CertFund&amp;CertProg&amp;CertObj&amp;CertGrant=RIGHT(LEFT($A$2,7),2)&amp;LEFT($A$91,4)&amp;$B$93&amp;F$3,CertBen))+SUM(IF(CertFund&amp;CertProg&amp;CertObj&amp;CertGrant=RIGHT(LEFT($A$2,7),2)&amp;LEFT($A$92,4)&amp;$B$93&amp;F$3,CertBen))</f>
        <v>0</v>
      </c>
      <c r="G95" s="528">
        <f t="array" ref="G95">SUM(IF(CertFund&amp;CertProg&amp;CertObj&amp;CertGrant=RIGHT(LEFT($A$2,7),2)&amp;LEFT($A$90,4)&amp;$B$93&amp;G$3,CertBen))+SUM(IF(CertFund&amp;CertProg&amp;CertObj&amp;CertGrant=RIGHT(LEFT($A$2,7),2)&amp;LEFT($A$91,4)&amp;$B$93&amp;G$3,CertBen))+SUM(IF(CertFund&amp;CertProg&amp;CertObj&amp;CertGrant=RIGHT(LEFT($A$2,7),2)&amp;LEFT($A$92,4)&amp;$B$93&amp;G$3,CertBen))</f>
        <v>0</v>
      </c>
      <c r="H95" s="528">
        <f t="array" ref="H95">SUM(IF(CertFund&amp;CertProg&amp;CertObj&amp;CertGrant=RIGHT(LEFT($A$2,7),2)&amp;LEFT($A$90,4)&amp;$B$93&amp;H$3,CertBen))+SUM(IF(CertFund&amp;CertProg&amp;CertObj&amp;CertGrant=RIGHT(LEFT($A$2,7),2)&amp;LEFT($A$91,4)&amp;$B$93&amp;H$3,CertBen))+SUM(IF(CertFund&amp;CertProg&amp;CertObj&amp;CertGrant=RIGHT(LEFT($A$2,7),2)&amp;LEFT($A$92,4)&amp;$B$93&amp;H$3,CertBen))</f>
        <v>0</v>
      </c>
      <c r="I95" s="528">
        <f t="array" ref="I95">SUM(IF(CertFund&amp;CertProg&amp;CertObj&amp;CertGrant=RIGHT(LEFT($A$2,7),2)&amp;LEFT($A$90,4)&amp;$B$93&amp;I$3,CertBen))+SUM(IF(CertFund&amp;CertProg&amp;CertObj&amp;CertGrant=RIGHT(LEFT($A$2,7),2)&amp;LEFT($A$91,4)&amp;$B$93&amp;I$3,CertBen))+SUM(IF(CertFund&amp;CertProg&amp;CertObj&amp;CertGrant=RIGHT(LEFT($A$2,7),2)&amp;LEFT($A$92,4)&amp;$B$93&amp;I$3,CertBen))</f>
        <v>0</v>
      </c>
      <c r="J95" s="528">
        <f t="array" ref="J95">SUM(IF(CertFund&amp;CertProg&amp;CertObj&amp;CertGrant=RIGHT(LEFT($A$2,7),2)&amp;LEFT($A$90,4)&amp;$B$93&amp;J$3,CertBen))+SUM(IF(CertFund&amp;CertProg&amp;CertObj&amp;CertGrant=RIGHT(LEFT($A$2,7),2)&amp;LEFT($A$91,4)&amp;$B$93&amp;J$3,CertBen))+SUM(IF(CertFund&amp;CertProg&amp;CertObj&amp;CertGrant=RIGHT(LEFT($A$2,7),2)&amp;LEFT($A$92,4)&amp;$B$93&amp;J$3,CertBen))</f>
        <v>0</v>
      </c>
      <c r="K95" s="528">
        <f t="array" ref="K95">SUM(IF(CertFund&amp;CertProg&amp;CertObj&amp;CertGrant=RIGHT(LEFT($A$2,7),2)&amp;LEFT($A$90,4)&amp;$B$93&amp;K$3,CertBen))+SUM(IF(CertFund&amp;CertProg&amp;CertObj&amp;CertGrant=RIGHT(LEFT($A$2,7),2)&amp;LEFT($A$91,4)&amp;$B$93&amp;K$3,CertBen))+SUM(IF(CertFund&amp;CertProg&amp;CertObj&amp;CertGrant=RIGHT(LEFT($A$2,7),2)&amp;LEFT($A$92,4)&amp;$B$93&amp;K$3,CertBen))</f>
        <v>0</v>
      </c>
      <c r="L95" s="528">
        <f t="array" ref="L95">SUM(IF(CertFund&amp;CertProg&amp;CertObj&amp;CertGrant=RIGHT(LEFT($A$2,7),2)&amp;LEFT($A$90,4)&amp;$B$93&amp;L$3,CertBen))+SUM(IF(CertFund&amp;CertProg&amp;CertObj&amp;CertGrant=RIGHT(LEFT($A$2,7),2)&amp;LEFT($A$91,4)&amp;$B$93&amp;L$3,CertBen))+SUM(IF(CertFund&amp;CertProg&amp;CertObj&amp;CertGrant=RIGHT(LEFT($A$2,7),2)&amp;LEFT($A$92,4)&amp;$B$93&amp;L$3,CertBen))</f>
        <v>0</v>
      </c>
      <c r="M95" s="528">
        <f t="array" ref="M95">SUM(IF(CertFund&amp;CertProg&amp;CertObj&amp;CertGrant=RIGHT(LEFT($A$2,7),2)&amp;LEFT($A$90,4)&amp;$B$93&amp;M$3,CertBen))+SUM(IF(CertFund&amp;CertProg&amp;CertObj&amp;CertGrant=RIGHT(LEFT($A$2,7),2)&amp;LEFT($A$91,4)&amp;$B$93&amp;M$3,CertBen))+SUM(IF(CertFund&amp;CertProg&amp;CertObj&amp;CertGrant=RIGHT(LEFT($A$2,7),2)&amp;LEFT($A$92,4)&amp;$B$93&amp;M$3,CertBen))</f>
        <v>0</v>
      </c>
      <c r="N95" s="528">
        <f t="array" ref="N95">SUM(IF(CertFund&amp;CertProg&amp;CertObj&amp;CertGrant=RIGHT(LEFT($A$2,7),2)&amp;LEFT($A$90,4)&amp;$B$93&amp;N$3,CertBen))+SUM(IF(CertFund&amp;CertProg&amp;CertObj&amp;CertGrant=RIGHT(LEFT($A$2,7),2)&amp;LEFT($A$91,4)&amp;$B$93&amp;N$3,CertBen))+SUM(IF(CertFund&amp;CertProg&amp;CertObj&amp;CertGrant=RIGHT(LEFT($A$2,7),2)&amp;LEFT($A$92,4)&amp;$B$93&amp;N$3,CertBen))</f>
        <v>0</v>
      </c>
      <c r="O95" s="528">
        <f t="array" ref="O95">SUM(IF(CertFund&amp;CertProg&amp;CertObj&amp;CertGrant=RIGHT(LEFT($A$2,7),2)&amp;LEFT($A$90,4)&amp;$B$93&amp;O$3,CertBen))+SUM(IF(CertFund&amp;CertProg&amp;CertObj&amp;CertGrant=RIGHT(LEFT($A$2,7),2)&amp;LEFT($A$91,4)&amp;$B$93&amp;O$3,CertBen))+SUM(IF(CertFund&amp;CertProg&amp;CertObj&amp;CertGrant=RIGHT(LEFT($A$2,7),2)&amp;LEFT($A$92,4)&amp;$B$93&amp;O$3,CertBen))</f>
        <v>0</v>
      </c>
      <c r="P95" s="528">
        <f t="array" ref="P95">SUM(IF(CertFund&amp;CertProg&amp;CertObj&amp;CertGrant=RIGHT(LEFT($A$2,7),2)&amp;LEFT($A$90,4)&amp;$B$93&amp;P$3,CertBen))+SUM(IF(CertFund&amp;CertProg&amp;CertObj&amp;CertGrant=RIGHT(LEFT($A$2,7),2)&amp;LEFT($A$91,4)&amp;$B$93&amp;P$3,CertBen))+SUM(IF(CertFund&amp;CertProg&amp;CertObj&amp;CertGrant=RIGHT(LEFT($A$2,7),2)&amp;LEFT($A$92,4)&amp;$B$93&amp;P$3,CertBen))</f>
        <v>0</v>
      </c>
      <c r="Q95" s="528">
        <f t="array" ref="Q95">SUM(IF(CertFund&amp;CertProg&amp;CertObj&amp;CertGrant=RIGHT(LEFT($A$2,7),2)&amp;LEFT($A$90,4)&amp;$B$93&amp;Q$3,CertBen))+SUM(IF(CertFund&amp;CertProg&amp;CertObj&amp;CertGrant=RIGHT(LEFT($A$2,7),2)&amp;LEFT($A$91,4)&amp;$B$93&amp;Q$3,CertBen))+SUM(IF(CertFund&amp;CertProg&amp;CertObj&amp;CertGrant=RIGHT(LEFT($A$2,7),2)&amp;LEFT($A$92,4)&amp;$B$93&amp;Q$3,CertBen))</f>
        <v>0</v>
      </c>
      <c r="R95" s="528">
        <f t="array" ref="R95">SUM(IF(CertFund&amp;CertProg&amp;CertObj&amp;CertGrant=RIGHT(LEFT($A$2,7),2)&amp;LEFT($A$90,4)&amp;$B$93&amp;R$3,CertBen))+SUM(IF(CertFund&amp;CertProg&amp;CertObj&amp;CertGrant=RIGHT(LEFT($A$2,7),2)&amp;LEFT($A$91,4)&amp;$B$93&amp;R$3,CertBen))+SUM(IF(CertFund&amp;CertProg&amp;CertObj&amp;CertGrant=RIGHT(LEFT($A$2,7),2)&amp;LEFT($A$92,4)&amp;$B$93&amp;R$3,CertBen))</f>
        <v>0</v>
      </c>
      <c r="S95" s="528">
        <f t="array" ref="S95">SUM(IF(CertFund&amp;CertProg&amp;CertObj&amp;CertGrant=RIGHT(LEFT($A$2,7),2)&amp;LEFT($A$90,4)&amp;$B$93&amp;S$3,CertBen))+SUM(IF(CertFund&amp;CertProg&amp;CertObj&amp;CertGrant=RIGHT(LEFT($A$2,7),2)&amp;LEFT($A$91,4)&amp;$B$93&amp;S$3,CertBen))+SUM(IF(CertFund&amp;CertProg&amp;CertObj&amp;CertGrant=RIGHT(LEFT($A$2,7),2)&amp;LEFT($A$92,4)&amp;$B$93&amp;S$3,CertBen))</f>
        <v>0</v>
      </c>
      <c r="T95" s="528">
        <f t="array" ref="T95">SUM(IF(CertFund&amp;CertProg&amp;CertObj&amp;CertGrant=RIGHT(LEFT($A$2,7),2)&amp;LEFT($A$90,4)&amp;$B$93&amp;T$3,CertBen))+SUM(IF(CertFund&amp;CertProg&amp;CertObj&amp;CertGrant=RIGHT(LEFT($A$2,7),2)&amp;LEFT($A$91,4)&amp;$B$93&amp;T$3,CertBen))+SUM(IF(CertFund&amp;CertProg&amp;CertObj&amp;CertGrant=RIGHT(LEFT($A$2,7),2)&amp;LEFT($A$92,4)&amp;$B$93&amp;T$3,CertBen))</f>
        <v>0</v>
      </c>
      <c r="U95" s="528">
        <f t="array" ref="U95">SUM(IF(CertFund&amp;CertProg&amp;CertObj&amp;CertGrant=RIGHT(LEFT($A$2,7),2)&amp;LEFT($A$90,4)&amp;$B$93&amp;U$3,CertBen))+SUM(IF(CertFund&amp;CertProg&amp;CertObj&amp;CertGrant=RIGHT(LEFT($A$2,7),2)&amp;LEFT($A$91,4)&amp;$B$93&amp;U$3,CertBen))+SUM(IF(CertFund&amp;CertProg&amp;CertObj&amp;CertGrant=RIGHT(LEFT($A$2,7),2)&amp;LEFT($A$92,4)&amp;$B$93&amp;U$3,CertBen))</f>
        <v>0</v>
      </c>
      <c r="V95" s="528">
        <f t="array" ref="V95">SUM(IF(CertFund&amp;CertProg&amp;CertObj&amp;CertGrant=RIGHT(LEFT($A$2,7),2)&amp;LEFT($A$90,4)&amp;$B$93&amp;V$3,CertBen))+SUM(IF(CertFund&amp;CertProg&amp;CertObj&amp;CertGrant=RIGHT(LEFT($A$2,7),2)&amp;LEFT($A$91,4)&amp;$B$93&amp;V$3,CertBen))+SUM(IF(CertFund&amp;CertProg&amp;CertObj&amp;CertGrant=RIGHT(LEFT($A$2,7),2)&amp;LEFT($A$92,4)&amp;$B$93&amp;V$3,CertBen))</f>
        <v>0</v>
      </c>
      <c r="W95" s="528">
        <f t="array" ref="W95">SUM(IF(CertFund&amp;CertProg&amp;CertObj&amp;CertGrant=RIGHT(LEFT($A$2,7),2)&amp;LEFT($A$90,4)&amp;$B$93&amp;W$3,CertBen))+SUM(IF(CertFund&amp;CertProg&amp;CertObj&amp;CertGrant=RIGHT(LEFT($A$2,7),2)&amp;LEFT($A$91,4)&amp;$B$93&amp;W$3,CertBen))+SUM(IF(CertFund&amp;CertProg&amp;CertObj&amp;CertGrant=RIGHT(LEFT($A$2,7),2)&amp;LEFT($A$92,4)&amp;$B$93&amp;W$3,CertBen))</f>
        <v>0</v>
      </c>
      <c r="X95" s="341">
        <f t="shared" si="16"/>
        <v>0</v>
      </c>
    </row>
    <row r="96" spans="1:24" ht="11.25" x14ac:dyDescent="0.2">
      <c r="A96" s="340" t="s">
        <v>1443</v>
      </c>
      <c r="B96" s="588" t="s">
        <v>1578</v>
      </c>
      <c r="C96" s="312" t="s">
        <v>511</v>
      </c>
      <c r="D96" s="590">
        <v>0</v>
      </c>
      <c r="E96" s="590">
        <v>0</v>
      </c>
      <c r="F96" s="590">
        <v>0</v>
      </c>
      <c r="G96" s="590">
        <v>0</v>
      </c>
      <c r="H96" s="590">
        <v>0</v>
      </c>
      <c r="I96" s="590">
        <v>0</v>
      </c>
      <c r="J96" s="590">
        <v>0</v>
      </c>
      <c r="K96" s="590">
        <v>0</v>
      </c>
      <c r="L96" s="590">
        <v>0</v>
      </c>
      <c r="M96" s="590">
        <v>0</v>
      </c>
      <c r="N96" s="590">
        <v>0</v>
      </c>
      <c r="O96" s="590">
        <v>0</v>
      </c>
      <c r="P96" s="590">
        <v>0</v>
      </c>
      <c r="Q96" s="590">
        <v>0</v>
      </c>
      <c r="R96" s="590">
        <v>0</v>
      </c>
      <c r="S96" s="590">
        <v>0</v>
      </c>
      <c r="T96" s="590">
        <v>0</v>
      </c>
      <c r="U96" s="590">
        <v>0</v>
      </c>
      <c r="V96" s="590">
        <v>0</v>
      </c>
      <c r="W96" s="590">
        <v>0</v>
      </c>
      <c r="X96" s="341">
        <f t="shared" si="16"/>
        <v>0</v>
      </c>
    </row>
    <row r="97" spans="1:24" ht="11.25" x14ac:dyDescent="0.2">
      <c r="A97" s="340">
        <v>29</v>
      </c>
      <c r="B97" s="188" t="s">
        <v>1579</v>
      </c>
      <c r="C97" s="329" t="s">
        <v>273</v>
      </c>
      <c r="D97" s="592">
        <v>0</v>
      </c>
      <c r="E97" s="592">
        <v>0</v>
      </c>
      <c r="F97" s="592">
        <v>0</v>
      </c>
      <c r="G97" s="592">
        <v>0</v>
      </c>
      <c r="H97" s="592">
        <v>0</v>
      </c>
      <c r="I97" s="592">
        <v>0</v>
      </c>
      <c r="J97" s="592">
        <v>0</v>
      </c>
      <c r="K97" s="592">
        <v>0</v>
      </c>
      <c r="L97" s="593">
        <v>0</v>
      </c>
      <c r="M97" s="593">
        <v>0</v>
      </c>
      <c r="N97" s="593">
        <v>0</v>
      </c>
      <c r="O97" s="593">
        <v>0</v>
      </c>
      <c r="P97" s="593">
        <v>0</v>
      </c>
      <c r="Q97" s="593">
        <v>0</v>
      </c>
      <c r="R97" s="593">
        <v>0</v>
      </c>
      <c r="S97" s="593">
        <v>0</v>
      </c>
      <c r="T97" s="593">
        <v>0</v>
      </c>
      <c r="U97" s="593">
        <v>0</v>
      </c>
      <c r="V97" s="593">
        <v>0</v>
      </c>
      <c r="W97" s="593">
        <v>0</v>
      </c>
      <c r="X97" s="341">
        <f t="shared" si="16"/>
        <v>0</v>
      </c>
    </row>
    <row r="98" spans="1:24" ht="11.25" x14ac:dyDescent="0.2">
      <c r="A98" s="340">
        <v>30</v>
      </c>
      <c r="B98" s="188" t="s">
        <v>1581</v>
      </c>
      <c r="C98" s="329" t="s">
        <v>274</v>
      </c>
      <c r="D98" s="592">
        <v>0</v>
      </c>
      <c r="E98" s="592">
        <v>0</v>
      </c>
      <c r="F98" s="592">
        <v>0</v>
      </c>
      <c r="G98" s="592">
        <v>0</v>
      </c>
      <c r="H98" s="592">
        <v>0</v>
      </c>
      <c r="I98" s="592">
        <v>0</v>
      </c>
      <c r="J98" s="592">
        <v>0</v>
      </c>
      <c r="K98" s="592">
        <v>0</v>
      </c>
      <c r="L98" s="593">
        <v>0</v>
      </c>
      <c r="M98" s="593">
        <v>0</v>
      </c>
      <c r="N98" s="593">
        <v>0</v>
      </c>
      <c r="O98" s="593">
        <v>0</v>
      </c>
      <c r="P98" s="593">
        <v>0</v>
      </c>
      <c r="Q98" s="593">
        <v>0</v>
      </c>
      <c r="R98" s="593">
        <v>0</v>
      </c>
      <c r="S98" s="593">
        <v>0</v>
      </c>
      <c r="T98" s="593">
        <v>0</v>
      </c>
      <c r="U98" s="593">
        <v>0</v>
      </c>
      <c r="V98" s="593">
        <v>0</v>
      </c>
      <c r="W98" s="593">
        <v>0</v>
      </c>
      <c r="X98" s="341">
        <f t="shared" si="16"/>
        <v>0</v>
      </c>
    </row>
    <row r="99" spans="1:24" ht="11.25" x14ac:dyDescent="0.2">
      <c r="A99" s="340">
        <v>31</v>
      </c>
      <c r="B99" s="188" t="s">
        <v>1582</v>
      </c>
      <c r="C99" s="329" t="s">
        <v>275</v>
      </c>
      <c r="D99" s="592">
        <v>0</v>
      </c>
      <c r="E99" s="592">
        <v>0</v>
      </c>
      <c r="F99" s="592">
        <v>0</v>
      </c>
      <c r="G99" s="592">
        <v>0</v>
      </c>
      <c r="H99" s="592">
        <v>0</v>
      </c>
      <c r="I99" s="592">
        <v>0</v>
      </c>
      <c r="J99" s="592">
        <v>0</v>
      </c>
      <c r="K99" s="592">
        <v>0</v>
      </c>
      <c r="L99" s="593">
        <v>0</v>
      </c>
      <c r="M99" s="593">
        <v>0</v>
      </c>
      <c r="N99" s="593">
        <v>0</v>
      </c>
      <c r="O99" s="593">
        <v>0</v>
      </c>
      <c r="P99" s="593">
        <v>0</v>
      </c>
      <c r="Q99" s="593">
        <v>0</v>
      </c>
      <c r="R99" s="593">
        <v>0</v>
      </c>
      <c r="S99" s="593">
        <v>0</v>
      </c>
      <c r="T99" s="593">
        <v>0</v>
      </c>
      <c r="U99" s="593">
        <v>0</v>
      </c>
      <c r="V99" s="593">
        <v>0</v>
      </c>
      <c r="W99" s="593">
        <v>0</v>
      </c>
      <c r="X99" s="341">
        <f t="shared" si="16"/>
        <v>0</v>
      </c>
    </row>
    <row r="100" spans="1:24" ht="11.25" x14ac:dyDescent="0.2">
      <c r="A100" s="340" t="s">
        <v>278</v>
      </c>
      <c r="B100" s="188" t="s">
        <v>634</v>
      </c>
      <c r="C100" s="329" t="s">
        <v>279</v>
      </c>
      <c r="D100" s="594">
        <v>0</v>
      </c>
      <c r="E100" s="592">
        <v>0</v>
      </c>
      <c r="F100" s="592">
        <v>0</v>
      </c>
      <c r="G100" s="592">
        <v>0</v>
      </c>
      <c r="H100" s="592">
        <v>0</v>
      </c>
      <c r="I100" s="592">
        <v>0</v>
      </c>
      <c r="J100" s="592">
        <v>0</v>
      </c>
      <c r="K100" s="592">
        <v>0</v>
      </c>
      <c r="L100" s="593">
        <v>0</v>
      </c>
      <c r="M100" s="593">
        <v>0</v>
      </c>
      <c r="N100" s="593">
        <v>0</v>
      </c>
      <c r="O100" s="593">
        <v>0</v>
      </c>
      <c r="P100" s="593">
        <v>0</v>
      </c>
      <c r="Q100" s="593">
        <v>0</v>
      </c>
      <c r="R100" s="593">
        <v>0</v>
      </c>
      <c r="S100" s="593">
        <v>0</v>
      </c>
      <c r="T100" s="593">
        <v>0</v>
      </c>
      <c r="U100" s="593">
        <v>0</v>
      </c>
      <c r="V100" s="593">
        <v>0</v>
      </c>
      <c r="W100" s="593">
        <v>0</v>
      </c>
      <c r="X100" s="341">
        <f t="shared" si="16"/>
        <v>0</v>
      </c>
    </row>
    <row r="101" spans="1:24" ht="11.25" x14ac:dyDescent="0.2">
      <c r="A101" s="340" t="s">
        <v>280</v>
      </c>
      <c r="B101" s="188" t="s">
        <v>630</v>
      </c>
      <c r="C101" s="329" t="s">
        <v>281</v>
      </c>
      <c r="D101" s="595">
        <v>0</v>
      </c>
      <c r="E101" s="596">
        <v>0</v>
      </c>
      <c r="F101" s="596">
        <v>0</v>
      </c>
      <c r="G101" s="596">
        <v>0</v>
      </c>
      <c r="H101" s="596">
        <v>0</v>
      </c>
      <c r="I101" s="596">
        <v>0</v>
      </c>
      <c r="J101" s="596">
        <v>0</v>
      </c>
      <c r="K101" s="596">
        <v>0</v>
      </c>
      <c r="L101" s="597">
        <v>0</v>
      </c>
      <c r="M101" s="597">
        <v>0</v>
      </c>
      <c r="N101" s="597">
        <v>0</v>
      </c>
      <c r="O101" s="597">
        <v>0</v>
      </c>
      <c r="P101" s="597">
        <v>0</v>
      </c>
      <c r="Q101" s="597">
        <v>0</v>
      </c>
      <c r="R101" s="597">
        <v>0</v>
      </c>
      <c r="S101" s="597">
        <v>0</v>
      </c>
      <c r="T101" s="597">
        <v>0</v>
      </c>
      <c r="U101" s="597">
        <v>0</v>
      </c>
      <c r="V101" s="597">
        <v>0</v>
      </c>
      <c r="W101" s="597">
        <v>0</v>
      </c>
      <c r="X101" s="341">
        <f t="shared" si="16"/>
        <v>0</v>
      </c>
    </row>
    <row r="102" spans="1:24" ht="11.25" x14ac:dyDescent="0.2">
      <c r="A102" s="340">
        <v>33</v>
      </c>
      <c r="C102" s="346" t="s">
        <v>297</v>
      </c>
      <c r="D102" s="347">
        <f>SUM(D93:D101)</f>
        <v>0</v>
      </c>
      <c r="E102" s="347">
        <f t="shared" ref="E102:W102" si="17">SUM(E93:E101)</f>
        <v>0</v>
      </c>
      <c r="F102" s="347">
        <f t="shared" si="17"/>
        <v>0</v>
      </c>
      <c r="G102" s="347">
        <f t="shared" si="17"/>
        <v>0</v>
      </c>
      <c r="H102" s="347">
        <f t="shared" si="17"/>
        <v>0</v>
      </c>
      <c r="I102" s="347">
        <f t="shared" si="17"/>
        <v>0</v>
      </c>
      <c r="J102" s="347">
        <f t="shared" si="17"/>
        <v>0</v>
      </c>
      <c r="K102" s="347">
        <f t="shared" si="17"/>
        <v>0</v>
      </c>
      <c r="L102" s="347">
        <f t="shared" si="17"/>
        <v>0</v>
      </c>
      <c r="M102" s="347">
        <f t="shared" si="17"/>
        <v>0</v>
      </c>
      <c r="N102" s="347">
        <f t="shared" si="17"/>
        <v>0</v>
      </c>
      <c r="O102" s="347">
        <f t="shared" si="17"/>
        <v>0</v>
      </c>
      <c r="P102" s="347">
        <f t="shared" si="17"/>
        <v>0</v>
      </c>
      <c r="Q102" s="347">
        <f t="shared" si="17"/>
        <v>0</v>
      </c>
      <c r="R102" s="347">
        <f t="shared" si="17"/>
        <v>0</v>
      </c>
      <c r="S102" s="347">
        <f t="shared" si="17"/>
        <v>0</v>
      </c>
      <c r="T102" s="347">
        <f t="shared" si="17"/>
        <v>0</v>
      </c>
      <c r="U102" s="347">
        <f t="shared" si="17"/>
        <v>0</v>
      </c>
      <c r="V102" s="347">
        <f t="shared" si="17"/>
        <v>0</v>
      </c>
      <c r="W102" s="347">
        <f t="shared" si="17"/>
        <v>0</v>
      </c>
      <c r="X102" s="341">
        <f t="shared" si="16"/>
        <v>0</v>
      </c>
    </row>
    <row r="103" spans="1:24" ht="11.25" x14ac:dyDescent="0.2">
      <c r="A103" s="340"/>
      <c r="C103" s="329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</row>
    <row r="104" spans="1:24" ht="11.25" x14ac:dyDescent="0.2">
      <c r="A104" s="340">
        <v>34</v>
      </c>
      <c r="C104" s="329" t="s">
        <v>282</v>
      </c>
      <c r="D104" s="598">
        <v>0</v>
      </c>
      <c r="E104" s="598">
        <v>0</v>
      </c>
      <c r="F104" s="598">
        <v>0</v>
      </c>
      <c r="G104" s="598">
        <v>0</v>
      </c>
      <c r="H104" s="598">
        <v>0</v>
      </c>
      <c r="I104" s="598">
        <v>0</v>
      </c>
      <c r="J104" s="598">
        <v>0</v>
      </c>
      <c r="K104" s="598">
        <v>0</v>
      </c>
      <c r="L104" s="598">
        <v>0</v>
      </c>
      <c r="M104" s="598">
        <v>0</v>
      </c>
      <c r="N104" s="598">
        <v>0</v>
      </c>
      <c r="O104" s="598">
        <v>0</v>
      </c>
      <c r="P104" s="598">
        <v>0</v>
      </c>
      <c r="Q104" s="598">
        <v>0</v>
      </c>
      <c r="R104" s="598">
        <v>0</v>
      </c>
      <c r="S104" s="598">
        <v>0</v>
      </c>
      <c r="T104" s="598">
        <v>0</v>
      </c>
      <c r="U104" s="598">
        <v>0</v>
      </c>
      <c r="V104" s="598">
        <v>0</v>
      </c>
      <c r="W104" s="598">
        <v>0</v>
      </c>
      <c r="X104" s="347">
        <f>SUM(D104:W104)</f>
        <v>0</v>
      </c>
    </row>
    <row r="105" spans="1:24" ht="11.25" x14ac:dyDescent="0.2">
      <c r="A105" s="340" t="s">
        <v>283</v>
      </c>
      <c r="C105" s="346" t="s">
        <v>298</v>
      </c>
      <c r="D105" s="355">
        <f>+D22+D79+D89+D102+D104+D32+D62+D42+D52</f>
        <v>0</v>
      </c>
      <c r="E105" s="355">
        <f t="shared" ref="E105:W105" si="18">+E22+E79+E89+E102+E104+E32+E62+E42+E52</f>
        <v>0</v>
      </c>
      <c r="F105" s="355">
        <f t="shared" si="18"/>
        <v>0</v>
      </c>
      <c r="G105" s="355">
        <f t="shared" si="18"/>
        <v>0</v>
      </c>
      <c r="H105" s="355">
        <f t="shared" si="18"/>
        <v>0</v>
      </c>
      <c r="I105" s="355">
        <f t="shared" si="18"/>
        <v>0</v>
      </c>
      <c r="J105" s="355">
        <f t="shared" si="18"/>
        <v>0</v>
      </c>
      <c r="K105" s="355">
        <f t="shared" si="18"/>
        <v>0</v>
      </c>
      <c r="L105" s="355">
        <f t="shared" si="18"/>
        <v>0</v>
      </c>
      <c r="M105" s="355">
        <f t="shared" si="18"/>
        <v>0</v>
      </c>
      <c r="N105" s="355">
        <f t="shared" si="18"/>
        <v>0</v>
      </c>
      <c r="O105" s="355">
        <f t="shared" si="18"/>
        <v>0</v>
      </c>
      <c r="P105" s="355">
        <f t="shared" si="18"/>
        <v>0</v>
      </c>
      <c r="Q105" s="355">
        <f t="shared" si="18"/>
        <v>0</v>
      </c>
      <c r="R105" s="355">
        <f t="shared" si="18"/>
        <v>0</v>
      </c>
      <c r="S105" s="355">
        <f t="shared" si="18"/>
        <v>0</v>
      </c>
      <c r="T105" s="355">
        <f t="shared" si="18"/>
        <v>0</v>
      </c>
      <c r="U105" s="355">
        <f t="shared" si="18"/>
        <v>0</v>
      </c>
      <c r="V105" s="355">
        <f t="shared" si="18"/>
        <v>0</v>
      </c>
      <c r="W105" s="355">
        <f t="shared" si="18"/>
        <v>0</v>
      </c>
      <c r="X105" s="341">
        <f>SUM(D105:W105)</f>
        <v>0</v>
      </c>
    </row>
    <row r="106" spans="1:24" ht="11.25" x14ac:dyDescent="0.2">
      <c r="A106" s="340" t="s">
        <v>284</v>
      </c>
      <c r="B106" s="188" t="s">
        <v>630</v>
      </c>
      <c r="C106" s="329" t="s">
        <v>285</v>
      </c>
      <c r="D106" s="592">
        <v>0</v>
      </c>
      <c r="E106" s="592">
        <v>0</v>
      </c>
      <c r="F106" s="592">
        <v>0</v>
      </c>
      <c r="G106" s="592">
        <v>0</v>
      </c>
      <c r="H106" s="592">
        <v>0</v>
      </c>
      <c r="I106" s="592">
        <v>0</v>
      </c>
      <c r="J106" s="592">
        <v>0</v>
      </c>
      <c r="K106" s="592">
        <v>0</v>
      </c>
      <c r="L106" s="592">
        <v>0</v>
      </c>
      <c r="M106" s="592">
        <v>0</v>
      </c>
      <c r="N106" s="592">
        <v>0</v>
      </c>
      <c r="O106" s="592">
        <v>0</v>
      </c>
      <c r="P106" s="592">
        <v>0</v>
      </c>
      <c r="Q106" s="592">
        <v>0</v>
      </c>
      <c r="R106" s="592">
        <v>0</v>
      </c>
      <c r="S106" s="592">
        <v>0</v>
      </c>
      <c r="T106" s="592">
        <v>0</v>
      </c>
      <c r="U106" s="592">
        <v>0</v>
      </c>
      <c r="V106" s="592">
        <v>0</v>
      </c>
      <c r="W106" s="592">
        <v>0</v>
      </c>
      <c r="X106" s="341">
        <f>SUM(D106:W106)</f>
        <v>0</v>
      </c>
    </row>
    <row r="107" spans="1:24" ht="11.25" x14ac:dyDescent="0.2">
      <c r="A107" s="340" t="s">
        <v>286</v>
      </c>
      <c r="B107" s="188" t="s">
        <v>634</v>
      </c>
      <c r="C107" s="329" t="s">
        <v>288</v>
      </c>
      <c r="D107" s="592">
        <v>0</v>
      </c>
      <c r="E107" s="592">
        <v>0</v>
      </c>
      <c r="F107" s="592">
        <v>0</v>
      </c>
      <c r="G107" s="592">
        <v>0</v>
      </c>
      <c r="H107" s="592">
        <v>0</v>
      </c>
      <c r="I107" s="592">
        <v>0</v>
      </c>
      <c r="J107" s="592">
        <v>0</v>
      </c>
      <c r="K107" s="592">
        <v>0</v>
      </c>
      <c r="L107" s="592">
        <v>0</v>
      </c>
      <c r="M107" s="592">
        <v>0</v>
      </c>
      <c r="N107" s="592">
        <v>0</v>
      </c>
      <c r="O107" s="592">
        <v>0</v>
      </c>
      <c r="P107" s="592">
        <v>0</v>
      </c>
      <c r="Q107" s="592">
        <v>0</v>
      </c>
      <c r="R107" s="592">
        <v>0</v>
      </c>
      <c r="S107" s="592">
        <v>0</v>
      </c>
      <c r="T107" s="592">
        <v>0</v>
      </c>
      <c r="U107" s="592">
        <v>0</v>
      </c>
      <c r="V107" s="592">
        <v>0</v>
      </c>
      <c r="W107" s="592">
        <v>0</v>
      </c>
      <c r="X107" s="341">
        <f>SUM(D107:W107)</f>
        <v>0</v>
      </c>
    </row>
    <row r="108" spans="1:24" ht="11.25" x14ac:dyDescent="0.2">
      <c r="A108" s="340" t="s">
        <v>289</v>
      </c>
      <c r="C108" s="346" t="s">
        <v>290</v>
      </c>
      <c r="D108" s="354">
        <f>+D105+D106+D107</f>
        <v>0</v>
      </c>
      <c r="E108" s="354">
        <f t="shared" ref="E108:W108" si="19">+E105+E106+E107</f>
        <v>0</v>
      </c>
      <c r="F108" s="354">
        <f t="shared" si="19"/>
        <v>0</v>
      </c>
      <c r="G108" s="354">
        <f t="shared" si="19"/>
        <v>0</v>
      </c>
      <c r="H108" s="354">
        <f t="shared" si="19"/>
        <v>0</v>
      </c>
      <c r="I108" s="354">
        <f t="shared" si="19"/>
        <v>0</v>
      </c>
      <c r="J108" s="354">
        <f t="shared" si="19"/>
        <v>0</v>
      </c>
      <c r="K108" s="354">
        <f t="shared" si="19"/>
        <v>0</v>
      </c>
      <c r="L108" s="354">
        <f t="shared" si="19"/>
        <v>0</v>
      </c>
      <c r="M108" s="354">
        <f t="shared" si="19"/>
        <v>0</v>
      </c>
      <c r="N108" s="354">
        <f t="shared" si="19"/>
        <v>0</v>
      </c>
      <c r="O108" s="354">
        <f t="shared" si="19"/>
        <v>0</v>
      </c>
      <c r="P108" s="354">
        <f t="shared" si="19"/>
        <v>0</v>
      </c>
      <c r="Q108" s="354">
        <f t="shared" si="19"/>
        <v>0</v>
      </c>
      <c r="R108" s="354">
        <f t="shared" si="19"/>
        <v>0</v>
      </c>
      <c r="S108" s="354">
        <f t="shared" si="19"/>
        <v>0</v>
      </c>
      <c r="T108" s="354">
        <f t="shared" si="19"/>
        <v>0</v>
      </c>
      <c r="U108" s="354">
        <f t="shared" si="19"/>
        <v>0</v>
      </c>
      <c r="V108" s="354">
        <f t="shared" si="19"/>
        <v>0</v>
      </c>
      <c r="W108" s="354">
        <f t="shared" si="19"/>
        <v>0</v>
      </c>
      <c r="X108" s="341">
        <f>SUM(D108:W108)</f>
        <v>0</v>
      </c>
    </row>
    <row r="109" spans="1:24" ht="11.25" x14ac:dyDescent="0.2">
      <c r="A109" s="340">
        <v>36</v>
      </c>
      <c r="C109" s="329" t="s">
        <v>1574</v>
      </c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41"/>
    </row>
    <row r="110" spans="1:24" ht="11.25" x14ac:dyDescent="0.2">
      <c r="A110" s="340">
        <v>37</v>
      </c>
      <c r="B110" s="188"/>
      <c r="C110" s="346"/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41"/>
    </row>
    <row r="111" spans="1:24" ht="11.25" x14ac:dyDescent="0.2">
      <c r="A111" s="340" t="s">
        <v>291</v>
      </c>
      <c r="B111" s="188" t="s">
        <v>632</v>
      </c>
      <c r="C111" s="346" t="s">
        <v>1631</v>
      </c>
      <c r="D111" s="599">
        <v>0</v>
      </c>
      <c r="E111" s="599">
        <v>0</v>
      </c>
      <c r="F111" s="599">
        <v>0</v>
      </c>
      <c r="G111" s="599">
        <v>0</v>
      </c>
      <c r="H111" s="599">
        <v>0</v>
      </c>
      <c r="I111" s="599">
        <v>0</v>
      </c>
      <c r="J111" s="599">
        <v>0</v>
      </c>
      <c r="K111" s="599">
        <v>0</v>
      </c>
      <c r="L111" s="599">
        <v>0</v>
      </c>
      <c r="M111" s="599">
        <v>0</v>
      </c>
      <c r="N111" s="599">
        <v>0</v>
      </c>
      <c r="O111" s="599">
        <v>0</v>
      </c>
      <c r="P111" s="599">
        <v>0</v>
      </c>
      <c r="Q111" s="599">
        <v>0</v>
      </c>
      <c r="R111" s="599">
        <v>0</v>
      </c>
      <c r="S111" s="599">
        <v>0</v>
      </c>
      <c r="T111" s="599">
        <v>0</v>
      </c>
      <c r="U111" s="599">
        <v>0</v>
      </c>
      <c r="V111" s="599">
        <v>0</v>
      </c>
      <c r="W111" s="599">
        <v>0</v>
      </c>
      <c r="X111" s="341">
        <f>SUM(D111:W111)</f>
        <v>0</v>
      </c>
    </row>
    <row r="112" spans="1:24" ht="11.25" x14ac:dyDescent="0.2">
      <c r="A112" s="340" t="s">
        <v>292</v>
      </c>
      <c r="B112" s="188" t="s">
        <v>634</v>
      </c>
      <c r="C112" s="329" t="s">
        <v>293</v>
      </c>
      <c r="D112" s="596">
        <v>0</v>
      </c>
      <c r="E112" s="596">
        <v>0</v>
      </c>
      <c r="F112" s="596">
        <v>0</v>
      </c>
      <c r="G112" s="596">
        <v>0</v>
      </c>
      <c r="H112" s="596">
        <v>0</v>
      </c>
      <c r="I112" s="596">
        <v>0</v>
      </c>
      <c r="J112" s="596">
        <v>0</v>
      </c>
      <c r="K112" s="596">
        <v>0</v>
      </c>
      <c r="L112" s="596">
        <v>0</v>
      </c>
      <c r="M112" s="596">
        <v>0</v>
      </c>
      <c r="N112" s="596">
        <v>0</v>
      </c>
      <c r="O112" s="596">
        <v>0</v>
      </c>
      <c r="P112" s="596">
        <v>0</v>
      </c>
      <c r="Q112" s="596">
        <v>0</v>
      </c>
      <c r="R112" s="596">
        <v>0</v>
      </c>
      <c r="S112" s="596">
        <v>0</v>
      </c>
      <c r="T112" s="596">
        <v>0</v>
      </c>
      <c r="U112" s="596">
        <v>0</v>
      </c>
      <c r="V112" s="596">
        <v>0</v>
      </c>
      <c r="W112" s="596">
        <v>0</v>
      </c>
      <c r="X112" s="341">
        <f>SUM(D112:W112)</f>
        <v>0</v>
      </c>
    </row>
    <row r="113" spans="1:24" ht="11.25" x14ac:dyDescent="0.2">
      <c r="A113" s="340">
        <v>39</v>
      </c>
      <c r="C113" s="346" t="s">
        <v>299</v>
      </c>
      <c r="D113" s="347">
        <f>+D108+D111+D112</f>
        <v>0</v>
      </c>
      <c r="E113" s="347">
        <f t="shared" ref="E113:W113" si="20">+E108+E111+E112</f>
        <v>0</v>
      </c>
      <c r="F113" s="347">
        <f t="shared" si="20"/>
        <v>0</v>
      </c>
      <c r="G113" s="347">
        <f t="shared" si="20"/>
        <v>0</v>
      </c>
      <c r="H113" s="347">
        <f t="shared" si="20"/>
        <v>0</v>
      </c>
      <c r="I113" s="347">
        <f t="shared" si="20"/>
        <v>0</v>
      </c>
      <c r="J113" s="347">
        <f t="shared" si="20"/>
        <v>0</v>
      </c>
      <c r="K113" s="347">
        <f t="shared" si="20"/>
        <v>0</v>
      </c>
      <c r="L113" s="347">
        <f t="shared" si="20"/>
        <v>0</v>
      </c>
      <c r="M113" s="347">
        <f t="shared" si="20"/>
        <v>0</v>
      </c>
      <c r="N113" s="347">
        <f t="shared" si="20"/>
        <v>0</v>
      </c>
      <c r="O113" s="347">
        <f t="shared" si="20"/>
        <v>0</v>
      </c>
      <c r="P113" s="347">
        <f t="shared" si="20"/>
        <v>0</v>
      </c>
      <c r="Q113" s="347">
        <f t="shared" si="20"/>
        <v>0</v>
      </c>
      <c r="R113" s="347">
        <f t="shared" si="20"/>
        <v>0</v>
      </c>
      <c r="S113" s="347">
        <f t="shared" si="20"/>
        <v>0</v>
      </c>
      <c r="T113" s="347">
        <f t="shared" si="20"/>
        <v>0</v>
      </c>
      <c r="U113" s="347">
        <f t="shared" si="20"/>
        <v>0</v>
      </c>
      <c r="V113" s="347">
        <f t="shared" si="20"/>
        <v>0</v>
      </c>
      <c r="W113" s="347">
        <f t="shared" si="20"/>
        <v>0</v>
      </c>
      <c r="X113" s="341">
        <f>SUM(D113:W113)</f>
        <v>0</v>
      </c>
    </row>
    <row r="114" spans="1:24" x14ac:dyDescent="0.15">
      <c r="A114" s="358"/>
      <c r="C114" s="359"/>
      <c r="D114" s="360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2"/>
    </row>
    <row r="115" spans="1:24" ht="11.25" x14ac:dyDescent="0.2">
      <c r="A115" s="340">
        <v>40</v>
      </c>
      <c r="C115" s="346" t="s">
        <v>300</v>
      </c>
      <c r="D115" s="347">
        <f>+D12</f>
        <v>0</v>
      </c>
      <c r="E115" s="347">
        <f t="shared" ref="E115:W115" si="21">+E12</f>
        <v>0</v>
      </c>
      <c r="F115" s="347">
        <f t="shared" si="21"/>
        <v>0</v>
      </c>
      <c r="G115" s="347">
        <f t="shared" si="21"/>
        <v>0</v>
      </c>
      <c r="H115" s="347">
        <f t="shared" si="21"/>
        <v>0</v>
      </c>
      <c r="I115" s="347">
        <f t="shared" si="21"/>
        <v>0</v>
      </c>
      <c r="J115" s="347">
        <f t="shared" si="21"/>
        <v>0</v>
      </c>
      <c r="K115" s="347">
        <f t="shared" si="21"/>
        <v>0</v>
      </c>
      <c r="L115" s="347">
        <f t="shared" si="21"/>
        <v>0</v>
      </c>
      <c r="M115" s="347">
        <f t="shared" si="21"/>
        <v>0</v>
      </c>
      <c r="N115" s="347">
        <f t="shared" si="21"/>
        <v>0</v>
      </c>
      <c r="O115" s="347">
        <f t="shared" si="21"/>
        <v>0</v>
      </c>
      <c r="P115" s="347">
        <f t="shared" si="21"/>
        <v>0</v>
      </c>
      <c r="Q115" s="347">
        <f t="shared" si="21"/>
        <v>0</v>
      </c>
      <c r="R115" s="347">
        <f t="shared" si="21"/>
        <v>0</v>
      </c>
      <c r="S115" s="347">
        <f t="shared" si="21"/>
        <v>0</v>
      </c>
      <c r="T115" s="347">
        <f t="shared" si="21"/>
        <v>0</v>
      </c>
      <c r="U115" s="347">
        <f t="shared" si="21"/>
        <v>0</v>
      </c>
      <c r="V115" s="347">
        <f t="shared" si="21"/>
        <v>0</v>
      </c>
      <c r="W115" s="347">
        <f t="shared" si="21"/>
        <v>0</v>
      </c>
      <c r="X115" s="347">
        <f>SUM(D115:W115)</f>
        <v>0</v>
      </c>
    </row>
    <row r="116" spans="1:24" x14ac:dyDescent="0.15">
      <c r="A116" s="358"/>
      <c r="C116" s="359"/>
      <c r="D116" s="360" t="s">
        <v>432</v>
      </c>
      <c r="E116" s="360" t="s">
        <v>432</v>
      </c>
      <c r="F116" s="360" t="s">
        <v>432</v>
      </c>
      <c r="G116" s="360" t="s">
        <v>432</v>
      </c>
      <c r="H116" s="360" t="s">
        <v>432</v>
      </c>
      <c r="I116" s="360" t="s">
        <v>432</v>
      </c>
      <c r="J116" s="360" t="s">
        <v>432</v>
      </c>
      <c r="K116" s="360" t="s">
        <v>432</v>
      </c>
      <c r="L116" s="360" t="s">
        <v>432</v>
      </c>
      <c r="M116" s="360" t="s">
        <v>432</v>
      </c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</row>
    <row r="117" spans="1:24" ht="11.25" x14ac:dyDescent="0.2">
      <c r="A117" s="340">
        <v>41</v>
      </c>
      <c r="C117" s="346" t="s">
        <v>301</v>
      </c>
      <c r="D117" s="363">
        <f>+D115-D113</f>
        <v>0</v>
      </c>
      <c r="E117" s="363">
        <f t="shared" ref="E117:W117" si="22">+E115-E113</f>
        <v>0</v>
      </c>
      <c r="F117" s="363">
        <f t="shared" si="22"/>
        <v>0</v>
      </c>
      <c r="G117" s="363">
        <f t="shared" si="22"/>
        <v>0</v>
      </c>
      <c r="H117" s="363">
        <f t="shared" si="22"/>
        <v>0</v>
      </c>
      <c r="I117" s="363">
        <f t="shared" si="22"/>
        <v>0</v>
      </c>
      <c r="J117" s="363">
        <f t="shared" si="22"/>
        <v>0</v>
      </c>
      <c r="K117" s="363">
        <f t="shared" si="22"/>
        <v>0</v>
      </c>
      <c r="L117" s="363">
        <f t="shared" si="22"/>
        <v>0</v>
      </c>
      <c r="M117" s="363">
        <f t="shared" si="22"/>
        <v>0</v>
      </c>
      <c r="N117" s="363">
        <f t="shared" si="22"/>
        <v>0</v>
      </c>
      <c r="O117" s="363">
        <f t="shared" si="22"/>
        <v>0</v>
      </c>
      <c r="P117" s="363">
        <f t="shared" si="22"/>
        <v>0</v>
      </c>
      <c r="Q117" s="363">
        <f t="shared" si="22"/>
        <v>0</v>
      </c>
      <c r="R117" s="363">
        <f t="shared" si="22"/>
        <v>0</v>
      </c>
      <c r="S117" s="363">
        <f t="shared" si="22"/>
        <v>0</v>
      </c>
      <c r="T117" s="363">
        <f t="shared" si="22"/>
        <v>0</v>
      </c>
      <c r="U117" s="363">
        <f t="shared" si="22"/>
        <v>0</v>
      </c>
      <c r="V117" s="363">
        <f t="shared" si="22"/>
        <v>0</v>
      </c>
      <c r="W117" s="363">
        <f t="shared" si="22"/>
        <v>0</v>
      </c>
      <c r="X117" s="347">
        <f>SUM(D117:W117)</f>
        <v>0</v>
      </c>
    </row>
    <row r="118" spans="1:24" ht="11.25" x14ac:dyDescent="0.2">
      <c r="A118" s="364"/>
      <c r="C118" s="346"/>
      <c r="D118" s="365"/>
      <c r="E118" s="365"/>
      <c r="F118" s="365"/>
      <c r="G118" s="365"/>
      <c r="H118" s="365"/>
      <c r="I118" s="365"/>
      <c r="J118" s="365"/>
      <c r="K118" s="365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47"/>
    </row>
    <row r="119" spans="1:24" x14ac:dyDescent="0.15">
      <c r="A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</row>
  </sheetData>
  <sheetProtection password="CB03" sheet="1" objects="1" scenarios="1" formatColumns="0" formatRows="0"/>
  <phoneticPr fontId="0" type="noConversion"/>
  <dataValidations count="1">
    <dataValidation type="whole" allowBlank="1" showInputMessage="1" showErrorMessage="1" errorTitle="Grant Code" error="Must be between 0000 and 9999" sqref="D3:W3">
      <formula1>0</formula1>
      <formula2>9999</formula2>
    </dataValidation>
  </dataValidations>
  <pageMargins left="0.75" right="0.75" top="1" bottom="1" header="0.5" footer="0.5"/>
  <pageSetup paperSize="5" scale="58" fitToWidth="2" fitToHeight="2" orientation="landscape" r:id="rId1"/>
  <headerFooter alignWithMargins="0">
    <oddFooter>&amp;LCDE, Public School Finance Unit&amp;C&amp;P&amp;RRevised, March 2009</oddFooter>
  </headerFooter>
  <rowBreaks count="1" manualBreakCount="1">
    <brk id="62" max="23" man="1"/>
  </rowBreaks>
  <colBreaks count="1" manualBreakCount="1">
    <brk id="2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opLeftCell="A148" workbookViewId="0">
      <selection activeCell="E7" sqref="E7"/>
    </sheetView>
  </sheetViews>
  <sheetFormatPr defaultRowHeight="10.5" x14ac:dyDescent="0.15"/>
  <cols>
    <col min="1" max="1" width="15.33203125" style="158" customWidth="1"/>
    <col min="2" max="2" width="5.83203125" style="158" customWidth="1"/>
    <col min="3" max="3" width="74.6640625" style="158" customWidth="1"/>
    <col min="4" max="4" width="5.33203125" style="158" customWidth="1"/>
    <col min="5" max="5" width="15.83203125" customWidth="1"/>
    <col min="6" max="6" width="17" style="158" customWidth="1"/>
    <col min="7" max="7" width="16.83203125" style="158" customWidth="1"/>
    <col min="8" max="8" width="16.33203125" style="158" customWidth="1"/>
    <col min="9" max="9" width="15.33203125" style="158" customWidth="1"/>
    <col min="10" max="10" width="17.6640625" style="158" customWidth="1"/>
    <col min="11" max="16384" width="9.33203125" style="158"/>
  </cols>
  <sheetData>
    <row r="1" spans="1:10" x14ac:dyDescent="0.15">
      <c r="A1" s="158" t="s">
        <v>106</v>
      </c>
      <c r="C1" s="163">
        <v>0</v>
      </c>
      <c r="D1" s="163"/>
      <c r="E1" s="158" t="s">
        <v>1586</v>
      </c>
      <c r="F1" s="164">
        <v>0</v>
      </c>
      <c r="G1" s="165"/>
      <c r="H1" s="38" t="s">
        <v>1588</v>
      </c>
    </row>
    <row r="2" spans="1:10" x14ac:dyDescent="0.15">
      <c r="A2" s="15" t="s">
        <v>1046</v>
      </c>
    </row>
    <row r="3" spans="1:10" ht="42" x14ac:dyDescent="0.15">
      <c r="E3" s="686" t="s">
        <v>1701</v>
      </c>
      <c r="F3" s="686" t="s">
        <v>1702</v>
      </c>
      <c r="G3" s="686" t="s">
        <v>1703</v>
      </c>
      <c r="H3" s="686" t="s">
        <v>1704</v>
      </c>
      <c r="I3" s="686" t="s">
        <v>1705</v>
      </c>
      <c r="J3" s="686" t="s">
        <v>1706</v>
      </c>
    </row>
    <row r="4" spans="1:10" ht="52.5" x14ac:dyDescent="0.15">
      <c r="E4" s="166"/>
      <c r="F4" s="166"/>
      <c r="G4" s="166"/>
      <c r="H4" s="166"/>
      <c r="I4" s="251" t="s">
        <v>193</v>
      </c>
      <c r="J4" s="251" t="s">
        <v>192</v>
      </c>
    </row>
    <row r="5" spans="1:10" ht="11.25" thickBot="1" x14ac:dyDescent="0.2">
      <c r="E5" s="166"/>
      <c r="F5" s="166"/>
      <c r="G5" s="166"/>
      <c r="H5" s="166"/>
      <c r="J5" s="167"/>
    </row>
    <row r="6" spans="1:10" ht="11.25" thickBot="1" x14ac:dyDescent="0.2">
      <c r="A6" s="35" t="s">
        <v>1589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171">
        <f>H6+I6</f>
        <v>0</v>
      </c>
    </row>
    <row r="7" spans="1:10" x14ac:dyDescent="0.15">
      <c r="A7" s="18"/>
      <c r="C7" s="209" t="s">
        <v>196</v>
      </c>
      <c r="F7" s="159"/>
      <c r="G7" s="8"/>
      <c r="J7" s="167"/>
    </row>
    <row r="8" spans="1:10" x14ac:dyDescent="0.15">
      <c r="A8" s="35" t="s">
        <v>203</v>
      </c>
      <c r="B8" s="159"/>
      <c r="C8" s="35" t="s">
        <v>1189</v>
      </c>
      <c r="D8" s="35"/>
      <c r="F8" s="159"/>
      <c r="G8" s="8"/>
      <c r="J8" s="167"/>
    </row>
    <row r="9" spans="1:10" x14ac:dyDescent="0.15">
      <c r="C9" s="40" t="s">
        <v>204</v>
      </c>
      <c r="D9" s="40"/>
      <c r="F9" s="177"/>
      <c r="G9" s="159"/>
      <c r="J9" s="167"/>
    </row>
    <row r="10" spans="1:10" x14ac:dyDescent="0.15">
      <c r="A10" s="379" t="e">
        <f>HLOOKUP(201,'Fund 22 Grants'!$D$2:$W$3,2,FALSE)</f>
        <v>#N/A</v>
      </c>
      <c r="B10" s="380"/>
      <c r="C10" s="381" t="e">
        <f>HLOOKUP(201,'Fund 22 Grants'!$D$2:$W$4,3,FALSE)</f>
        <v>#N/A</v>
      </c>
      <c r="D10" s="115"/>
      <c r="E10" s="41">
        <v>0</v>
      </c>
      <c r="F10" s="41">
        <v>0</v>
      </c>
      <c r="G10" s="41">
        <v>0</v>
      </c>
      <c r="H10" s="383">
        <f>IF(ISERROR(HLOOKUP(201,'Fund 22 Grants'!$D$2:$W$12,11,FALSE)),0,(HLOOKUP(201,'Fund 22 Grants'!$D$2:$W$12,11,FALSE)))</f>
        <v>0</v>
      </c>
      <c r="I10" s="41">
        <v>0</v>
      </c>
      <c r="J10" s="564">
        <f>H10+I10</f>
        <v>0</v>
      </c>
    </row>
    <row r="11" spans="1:10" x14ac:dyDescent="0.15">
      <c r="A11" s="379" t="e">
        <f>HLOOKUP(202,'Fund 22 Grants'!$D$2:$W$3,2,FALSE)</f>
        <v>#N/A</v>
      </c>
      <c r="B11" s="380"/>
      <c r="C11" s="381" t="e">
        <f>HLOOKUP(202,'Fund 22 Grants'!$D$2:$W$4,3,FALSE)</f>
        <v>#N/A</v>
      </c>
      <c r="D11" s="115"/>
      <c r="E11" s="41">
        <v>0</v>
      </c>
      <c r="F11" s="41">
        <v>0</v>
      </c>
      <c r="G11" s="41">
        <v>0</v>
      </c>
      <c r="H11" s="383">
        <f>IF(ISERROR(HLOOKUP(202,'Fund 22 Grants'!$D$2:$W$12,11,FALSE)),0,(HLOOKUP(202,'Fund 22 Grants'!$D$2:$W$12,11,FALSE)))</f>
        <v>0</v>
      </c>
      <c r="I11" s="41">
        <v>0</v>
      </c>
      <c r="J11" s="564">
        <f t="shared" ref="J11:J19" si="0">H11+I11</f>
        <v>0</v>
      </c>
    </row>
    <row r="12" spans="1:10" x14ac:dyDescent="0.15">
      <c r="A12" s="379" t="e">
        <f>HLOOKUP(203,'Fund 22 Grants'!$D$2:$W$3,2,FALSE)</f>
        <v>#N/A</v>
      </c>
      <c r="B12" s="380"/>
      <c r="C12" s="381" t="e">
        <f>HLOOKUP(203,'Fund 22 Grants'!$D$2:$W$4,3,FALSE)</f>
        <v>#N/A</v>
      </c>
      <c r="D12" s="115"/>
      <c r="E12" s="41">
        <v>0</v>
      </c>
      <c r="F12" s="41">
        <v>0</v>
      </c>
      <c r="G12" s="41">
        <v>0</v>
      </c>
      <c r="H12" s="383">
        <f>IF(ISERROR(HLOOKUP(203,'Fund 22 Grants'!$D$2:$W$12,11,FALSE)),0,(HLOOKUP(203,'Fund 22 Grants'!$D$2:$W$12,11,FALSE)))</f>
        <v>0</v>
      </c>
      <c r="I12" s="41">
        <v>0</v>
      </c>
      <c r="J12" s="564">
        <f t="shared" si="0"/>
        <v>0</v>
      </c>
    </row>
    <row r="13" spans="1:10" x14ac:dyDescent="0.15">
      <c r="A13" s="379" t="e">
        <f>HLOOKUP(204,'Fund 22 Grants'!$D$2:$W$3,2,FALSE)</f>
        <v>#N/A</v>
      </c>
      <c r="B13" s="380"/>
      <c r="C13" s="381" t="e">
        <f>HLOOKUP(204,'Fund 22 Grants'!$D$2:$W$4,3,FALSE)</f>
        <v>#N/A</v>
      </c>
      <c r="D13" s="115"/>
      <c r="E13" s="41">
        <v>0</v>
      </c>
      <c r="F13" s="41">
        <v>0</v>
      </c>
      <c r="G13" s="41">
        <v>0</v>
      </c>
      <c r="H13" s="383">
        <f>IF(ISERROR(HLOOKUP(204,'Fund 22 Grants'!$D$2:$W$12,11,FALSE)),0,(HLOOKUP(204,'Fund 22 Grants'!$D$2:$W$12,11,FALSE)))</f>
        <v>0</v>
      </c>
      <c r="I13" s="41">
        <v>0</v>
      </c>
      <c r="J13" s="564">
        <f t="shared" si="0"/>
        <v>0</v>
      </c>
    </row>
    <row r="14" spans="1:10" x14ac:dyDescent="0.15">
      <c r="A14" s="379" t="e">
        <f>HLOOKUP(205,'Fund 22 Grants'!$D$2:$W$3,2,FALSE)</f>
        <v>#N/A</v>
      </c>
      <c r="B14" s="380"/>
      <c r="C14" s="381" t="e">
        <f>HLOOKUP(205,'Fund 22 Grants'!$D$2:$W$4,3,FALSE)</f>
        <v>#N/A</v>
      </c>
      <c r="D14" s="115"/>
      <c r="E14" s="41">
        <v>0</v>
      </c>
      <c r="F14" s="41">
        <v>0</v>
      </c>
      <c r="G14" s="41">
        <v>0</v>
      </c>
      <c r="H14" s="383">
        <f>IF(ISERROR(HLOOKUP(205,'Fund 22 Grants'!$D$2:$W$12,11,FALSE)),0,(HLOOKUP(205,'Fund 22 Grants'!$D$2:$W$12,11,FALSE)))</f>
        <v>0</v>
      </c>
      <c r="I14" s="41">
        <v>0</v>
      </c>
      <c r="J14" s="564">
        <f t="shared" si="0"/>
        <v>0</v>
      </c>
    </row>
    <row r="15" spans="1:10" x14ac:dyDescent="0.15">
      <c r="A15" s="379" t="e">
        <f>HLOOKUP(206,'Fund 22 Grants'!$D$2:$W$3,2,FALSE)</f>
        <v>#N/A</v>
      </c>
      <c r="B15" s="380"/>
      <c r="C15" s="381" t="e">
        <f>HLOOKUP(206,'Fund 22 Grants'!$D$2:$W$4,3,FALSE)</f>
        <v>#N/A</v>
      </c>
      <c r="D15" s="115"/>
      <c r="E15" s="41">
        <v>0</v>
      </c>
      <c r="F15" s="41">
        <v>0</v>
      </c>
      <c r="G15" s="41">
        <v>0</v>
      </c>
      <c r="H15" s="383">
        <f>IF(ISERROR(HLOOKUP(206,'Fund 22 Grants'!$D$2:$W$12,11,FALSE)),0,(HLOOKUP(206,'Fund 22 Grants'!$D$2:$W$12,11,FALSE)))</f>
        <v>0</v>
      </c>
      <c r="I15" s="41">
        <v>0</v>
      </c>
      <c r="J15" s="564">
        <f t="shared" si="0"/>
        <v>0</v>
      </c>
    </row>
    <row r="16" spans="1:10" x14ac:dyDescent="0.15">
      <c r="A16" s="379" t="e">
        <f>HLOOKUP(207,'Fund 22 Grants'!$D$2:$W$3,2,FALSE)</f>
        <v>#N/A</v>
      </c>
      <c r="B16" s="380"/>
      <c r="C16" s="381" t="e">
        <f>HLOOKUP(207,'Fund 22 Grants'!$D$2:$W$4,3,FALSE)</f>
        <v>#N/A</v>
      </c>
      <c r="D16" s="115"/>
      <c r="E16" s="41">
        <v>0</v>
      </c>
      <c r="F16" s="41">
        <v>0</v>
      </c>
      <c r="G16" s="41">
        <v>0</v>
      </c>
      <c r="H16" s="383">
        <f>IF(ISERROR(HLOOKUP(207,'Fund 22 Grants'!$D$2:$W$12,11,FALSE)),0,(HLOOKUP(207,'Fund 22 Grants'!$D$2:$W$12,11,FALSE)))</f>
        <v>0</v>
      </c>
      <c r="I16" s="41">
        <v>0</v>
      </c>
      <c r="J16" s="564">
        <f t="shared" si="0"/>
        <v>0</v>
      </c>
    </row>
    <row r="17" spans="1:10" x14ac:dyDescent="0.15">
      <c r="A17" s="379" t="e">
        <f>HLOOKUP(208,'Fund 22 Grants'!$D$2:$W$3,2,FALSE)</f>
        <v>#N/A</v>
      </c>
      <c r="B17" s="380"/>
      <c r="C17" s="381" t="e">
        <f>HLOOKUP(208,'Fund 22 Grants'!$D$2:$W$4,3,FALSE)</f>
        <v>#N/A</v>
      </c>
      <c r="D17" s="115"/>
      <c r="E17" s="41">
        <v>0</v>
      </c>
      <c r="F17" s="41">
        <v>0</v>
      </c>
      <c r="G17" s="41">
        <v>0</v>
      </c>
      <c r="H17" s="383">
        <f>IF(ISERROR(HLOOKUP(208,'Fund 22 Grants'!$D$2:$W$12,11,FALSE)),0,(HLOOKUP(208,'Fund 22 Grants'!$D$2:$W$12,11,FALSE)))</f>
        <v>0</v>
      </c>
      <c r="I17" s="41">
        <v>0</v>
      </c>
      <c r="J17" s="564">
        <f t="shared" si="0"/>
        <v>0</v>
      </c>
    </row>
    <row r="18" spans="1:10" x14ac:dyDescent="0.15">
      <c r="A18" s="379" t="e">
        <f>HLOOKUP(209,'Fund 22 Grants'!$D$2:$W$3,2,FALSE)</f>
        <v>#N/A</v>
      </c>
      <c r="B18" s="380"/>
      <c r="C18" s="381" t="e">
        <f>HLOOKUP(209,'Fund 22 Grants'!$D$2:$W$4,3,FALSE)</f>
        <v>#N/A</v>
      </c>
      <c r="D18" s="115"/>
      <c r="E18" s="41">
        <v>0</v>
      </c>
      <c r="F18" s="41">
        <v>0</v>
      </c>
      <c r="G18" s="41">
        <v>0</v>
      </c>
      <c r="H18" s="383">
        <f>IF(ISERROR(HLOOKUP(209,'Fund 22 Grants'!$D$2:$W$12,11,FALSE)),0,(HLOOKUP(209,'Fund 22 Grants'!$D$2:$W$12,11,FALSE)))</f>
        <v>0</v>
      </c>
      <c r="I18" s="41">
        <v>0</v>
      </c>
      <c r="J18" s="564">
        <f t="shared" si="0"/>
        <v>0</v>
      </c>
    </row>
    <row r="19" spans="1:10" x14ac:dyDescent="0.15">
      <c r="A19" s="379" t="e">
        <f>HLOOKUP(210,'Fund 22 Grants'!$D$2:$W$3,2,FALSE)</f>
        <v>#N/A</v>
      </c>
      <c r="B19" s="380"/>
      <c r="C19" s="381" t="e">
        <f>HLOOKUP(210,'Fund 22 Grants'!$D$2:$W$4,3,FALSE)</f>
        <v>#N/A</v>
      </c>
      <c r="D19" s="194"/>
      <c r="E19" s="41">
        <v>0</v>
      </c>
      <c r="F19" s="41">
        <v>0</v>
      </c>
      <c r="G19" s="41">
        <v>0</v>
      </c>
      <c r="H19" s="383">
        <f>IF(ISERROR(HLOOKUP(210,'Fund 22 Grants'!$D$2:$W$12,11,FALSE)),0,(HLOOKUP(210,'Fund 22 Grants'!$D$2:$W$12,11,FALSE)))</f>
        <v>0</v>
      </c>
      <c r="I19" s="41">
        <v>0</v>
      </c>
      <c r="J19" s="564">
        <f t="shared" si="0"/>
        <v>0</v>
      </c>
    </row>
    <row r="20" spans="1:10" x14ac:dyDescent="0.15">
      <c r="A20" s="379" t="e">
        <f>HLOOKUP(211,'Fund 22 Grants'!$D$2:$W$3,2,FALSE)</f>
        <v>#N/A</v>
      </c>
      <c r="B20" s="380"/>
      <c r="C20" s="381" t="e">
        <f>HLOOKUP(211,'Fund 22 Grants'!$D$2:$W$4,3,FALSE)</f>
        <v>#N/A</v>
      </c>
      <c r="D20" s="115"/>
      <c r="E20" s="41">
        <v>0</v>
      </c>
      <c r="F20" s="41">
        <v>0</v>
      </c>
      <c r="G20" s="41">
        <v>0</v>
      </c>
      <c r="H20" s="383">
        <f>IF(ISERROR(HLOOKUP(211,'Fund 22 Grants'!$D$2:$W$12,11,FALSE)),0,(HLOOKUP(211,'Fund 22 Grants'!$D$2:$W$12,11,FALSE)))</f>
        <v>0</v>
      </c>
      <c r="I20" s="41">
        <v>0</v>
      </c>
      <c r="J20" s="564">
        <f>H20+I20</f>
        <v>0</v>
      </c>
    </row>
    <row r="21" spans="1:10" x14ac:dyDescent="0.15">
      <c r="A21" s="379" t="e">
        <f>HLOOKUP(212,'Fund 22 Grants'!$D$2:$W$3,2,FALSE)</f>
        <v>#N/A</v>
      </c>
      <c r="B21" s="380"/>
      <c r="C21" s="381" t="e">
        <f>HLOOKUP(212,'Fund 22 Grants'!$D$2:$W$4,3,FALSE)</f>
        <v>#N/A</v>
      </c>
      <c r="D21" s="194"/>
      <c r="E21" s="41">
        <v>0</v>
      </c>
      <c r="F21" s="41">
        <v>0</v>
      </c>
      <c r="G21" s="41">
        <v>0</v>
      </c>
      <c r="H21" s="383">
        <f>IF(ISERROR(HLOOKUP(212,'Fund 22 Grants'!$D$2:$W$12,11,FALSE)),0,(HLOOKUP(212,'Fund 22 Grants'!$D$2:$W$12,11,FALSE)))</f>
        <v>0</v>
      </c>
      <c r="I21" s="41">
        <v>0</v>
      </c>
      <c r="J21" s="564">
        <f>H21+I21</f>
        <v>0</v>
      </c>
    </row>
    <row r="22" spans="1:10" ht="11.25" thickBot="1" x14ac:dyDescent="0.2">
      <c r="A22" s="152"/>
      <c r="B22" s="167"/>
      <c r="E22" s="14"/>
      <c r="F22" s="14"/>
      <c r="G22" s="14"/>
      <c r="H22" s="14"/>
      <c r="J22" s="167"/>
    </row>
    <row r="23" spans="1:10" ht="12" thickTop="1" thickBot="1" x14ac:dyDescent="0.2">
      <c r="C23" s="115" t="s">
        <v>1186</v>
      </c>
      <c r="D23" s="115"/>
      <c r="E23" s="169">
        <f t="shared" ref="E23:J23" si="1">SUM(E10:E21)</f>
        <v>0</v>
      </c>
      <c r="F23" s="169">
        <f t="shared" si="1"/>
        <v>0</v>
      </c>
      <c r="G23" s="169">
        <f t="shared" si="1"/>
        <v>0</v>
      </c>
      <c r="H23" s="169">
        <f t="shared" si="1"/>
        <v>0</v>
      </c>
      <c r="I23" s="169">
        <f t="shared" si="1"/>
        <v>0</v>
      </c>
      <c r="J23" s="169">
        <f t="shared" si="1"/>
        <v>0</v>
      </c>
    </row>
    <row r="24" spans="1:10" ht="11.25" thickTop="1" x14ac:dyDescent="0.15">
      <c r="F24" s="159"/>
      <c r="G24" s="159"/>
      <c r="J24" s="167"/>
    </row>
    <row r="25" spans="1:10" x14ac:dyDescent="0.15">
      <c r="B25" s="40" t="s">
        <v>1185</v>
      </c>
      <c r="F25" s="159"/>
      <c r="G25" s="159"/>
      <c r="J25" s="167"/>
    </row>
    <row r="26" spans="1:10" x14ac:dyDescent="0.15">
      <c r="A26" s="235" t="s">
        <v>163</v>
      </c>
      <c r="B26" s="40"/>
      <c r="F26" s="159"/>
      <c r="G26" s="159"/>
      <c r="J26" s="167"/>
    </row>
    <row r="27" spans="1:10" x14ac:dyDescent="0.15">
      <c r="A27" s="35" t="s">
        <v>203</v>
      </c>
      <c r="B27" s="159"/>
      <c r="C27" s="35" t="s">
        <v>1188</v>
      </c>
      <c r="D27" s="35"/>
      <c r="F27" s="159"/>
      <c r="G27" s="159"/>
      <c r="J27" s="167"/>
    </row>
    <row r="28" spans="1:10" x14ac:dyDescent="0.15">
      <c r="A28" s="373"/>
      <c r="B28" s="167"/>
      <c r="C28" s="40" t="s">
        <v>554</v>
      </c>
      <c r="D28" s="194"/>
      <c r="F28" s="159"/>
      <c r="G28" s="159"/>
      <c r="J28" s="167"/>
    </row>
    <row r="29" spans="1:10" x14ac:dyDescent="0.15">
      <c r="A29" s="379" t="e">
        <f>HLOOKUP(301,'Fund 22 Grants'!$D$2:$W$3,2,FALSE)</f>
        <v>#N/A</v>
      </c>
      <c r="B29" s="380"/>
      <c r="C29" s="381" t="e">
        <f>HLOOKUP(301,'Fund 22 Grants'!$D$2:$W$4,3,FALSE)</f>
        <v>#N/A</v>
      </c>
      <c r="D29" s="194"/>
      <c r="E29" s="41">
        <v>0</v>
      </c>
      <c r="F29" s="41">
        <v>0</v>
      </c>
      <c r="G29" s="41">
        <v>0</v>
      </c>
      <c r="H29" s="383">
        <f>IF(ISERROR(HLOOKUP(301,'Fund 22 Grants'!$D$2:$W$12,11,FALSE)),0,(HLOOKUP(301,'Fund 22 Grants'!$D$2:$W$12,11,FALSE)))</f>
        <v>0</v>
      </c>
      <c r="I29" s="41">
        <v>0</v>
      </c>
      <c r="J29" s="564">
        <f t="shared" ref="J29:J47" si="2">H29+I29</f>
        <v>0</v>
      </c>
    </row>
    <row r="30" spans="1:10" x14ac:dyDescent="0.15">
      <c r="A30" s="379" t="e">
        <f>HLOOKUP(302,'Fund 22 Grants'!$D$2:$W$3,2,FALSE)</f>
        <v>#N/A</v>
      </c>
      <c r="B30" s="380"/>
      <c r="C30" s="381" t="e">
        <f>HLOOKUP(302,'Fund 22 Grants'!$D$2:$W$4,3,FALSE)</f>
        <v>#N/A</v>
      </c>
      <c r="D30" s="194"/>
      <c r="E30" s="41">
        <v>0</v>
      </c>
      <c r="F30" s="41">
        <v>0</v>
      </c>
      <c r="G30" s="41">
        <v>0</v>
      </c>
      <c r="H30" s="383">
        <f>IF(ISERROR(HLOOKUP(302,'Fund 22 Grants'!$D$2:$W$12,11,FALSE)),0,(HLOOKUP(302,'Fund 22 Grants'!$D$2:$W$12,11,FALSE)))</f>
        <v>0</v>
      </c>
      <c r="I30" s="41">
        <v>0</v>
      </c>
      <c r="J30" s="564">
        <f t="shared" si="2"/>
        <v>0</v>
      </c>
    </row>
    <row r="31" spans="1:10" x14ac:dyDescent="0.15">
      <c r="A31" s="379" t="e">
        <f>HLOOKUP(303,'Fund 22 Grants'!$D$2:$W$3,2,FALSE)</f>
        <v>#N/A</v>
      </c>
      <c r="B31" s="380"/>
      <c r="C31" s="381" t="e">
        <f>HLOOKUP(303,'Fund 22 Grants'!$D$2:$W$4,3,FALSE)</f>
        <v>#N/A</v>
      </c>
      <c r="D31" s="194"/>
      <c r="E31" s="41">
        <v>0</v>
      </c>
      <c r="F31" s="41">
        <v>0</v>
      </c>
      <c r="G31" s="41">
        <v>0</v>
      </c>
      <c r="H31" s="383">
        <f>IF(ISERROR(HLOOKUP(303,'Fund 22 Grants'!$D$2:$W$12,11,FALSE)),0,(HLOOKUP(303,'Fund 22 Grants'!$D$2:$W$12,11,FALSE)))</f>
        <v>0</v>
      </c>
      <c r="I31" s="41">
        <v>0</v>
      </c>
      <c r="J31" s="564">
        <f t="shared" si="2"/>
        <v>0</v>
      </c>
    </row>
    <row r="32" spans="1:10" x14ac:dyDescent="0.15">
      <c r="A32" s="379" t="e">
        <f>HLOOKUP(304,'Fund 22 Grants'!$D$2:$W$3,2,FALSE)</f>
        <v>#N/A</v>
      </c>
      <c r="B32" s="380"/>
      <c r="C32" s="381" t="e">
        <f>HLOOKUP(304,'Fund 22 Grants'!$D$2:$W$4,3,FALSE)</f>
        <v>#N/A</v>
      </c>
      <c r="D32" s="194"/>
      <c r="E32" s="41">
        <v>0</v>
      </c>
      <c r="F32" s="41">
        <v>0</v>
      </c>
      <c r="G32" s="41">
        <v>0</v>
      </c>
      <c r="H32" s="383">
        <f>IF(ISERROR(HLOOKUP(304,'Fund 22 Grants'!$D$2:$W$12,11,FALSE)),0,(HLOOKUP(304,'Fund 22 Grants'!$D$2:$W$12,11,FALSE)))</f>
        <v>0</v>
      </c>
      <c r="I32" s="41">
        <v>0</v>
      </c>
      <c r="J32" s="564">
        <f t="shared" si="2"/>
        <v>0</v>
      </c>
    </row>
    <row r="33" spans="1:10" x14ac:dyDescent="0.15">
      <c r="A33" s="379" t="e">
        <f>HLOOKUP(305,'Fund 22 Grants'!$D$2:$W$3,2,FALSE)</f>
        <v>#N/A</v>
      </c>
      <c r="B33" s="380"/>
      <c r="C33" s="381" t="e">
        <f>HLOOKUP(305,'Fund 22 Grants'!$D$2:$W$4,3,FALSE)</f>
        <v>#N/A</v>
      </c>
      <c r="D33" s="194"/>
      <c r="E33" s="41">
        <v>0</v>
      </c>
      <c r="F33" s="41">
        <v>0</v>
      </c>
      <c r="G33" s="41">
        <v>0</v>
      </c>
      <c r="H33" s="383">
        <f>IF(ISERROR(HLOOKUP(305,'Fund 22 Grants'!$D$2:$W$12,11,FALSE)),0,(HLOOKUP(305,'Fund 22 Grants'!$D$2:$W$12,11,FALSE)))</f>
        <v>0</v>
      </c>
      <c r="I33" s="41">
        <v>0</v>
      </c>
      <c r="J33" s="564">
        <f t="shared" si="2"/>
        <v>0</v>
      </c>
    </row>
    <row r="34" spans="1:10" x14ac:dyDescent="0.15">
      <c r="A34" s="379" t="e">
        <f>HLOOKUP(306,'Fund 22 Grants'!$D$2:$W$3,2,FALSE)</f>
        <v>#N/A</v>
      </c>
      <c r="B34" s="380"/>
      <c r="C34" s="381" t="e">
        <f>HLOOKUP(306,'Fund 22 Grants'!$D$2:$W$4,3,FALSE)</f>
        <v>#N/A</v>
      </c>
      <c r="D34" s="194"/>
      <c r="E34" s="41">
        <v>0</v>
      </c>
      <c r="F34" s="41">
        <v>0</v>
      </c>
      <c r="G34" s="41">
        <v>0</v>
      </c>
      <c r="H34" s="383">
        <f>IF(ISERROR(HLOOKUP(306,'Fund 22 Grants'!$D$2:$W$12,11,FALSE)),0,(HLOOKUP(306,'Fund 22 Grants'!$D$2:$W$12,11,FALSE)))</f>
        <v>0</v>
      </c>
      <c r="I34" s="41">
        <v>0</v>
      </c>
      <c r="J34" s="564">
        <f t="shared" si="2"/>
        <v>0</v>
      </c>
    </row>
    <row r="35" spans="1:10" x14ac:dyDescent="0.15">
      <c r="A35" s="379" t="e">
        <f>HLOOKUP(307,'Fund 22 Grants'!$D$2:$W$3,2,FALSE)</f>
        <v>#N/A</v>
      </c>
      <c r="B35" s="380"/>
      <c r="C35" s="381" t="e">
        <f>HLOOKUP(307,'Fund 22 Grants'!$D$2:$W$4,3,FALSE)</f>
        <v>#N/A</v>
      </c>
      <c r="D35" s="194"/>
      <c r="E35" s="41">
        <v>0</v>
      </c>
      <c r="F35" s="41">
        <v>0</v>
      </c>
      <c r="G35" s="41">
        <v>0</v>
      </c>
      <c r="H35" s="383">
        <f>IF(ISERROR(HLOOKUP(307,'Fund 22 Grants'!$D$2:$W$12,11,FALSE)),0,(HLOOKUP(307,'Fund 22 Grants'!$D$2:$W$12,11,FALSE)))</f>
        <v>0</v>
      </c>
      <c r="I35" s="41">
        <v>0</v>
      </c>
      <c r="J35" s="564">
        <f t="shared" si="2"/>
        <v>0</v>
      </c>
    </row>
    <row r="36" spans="1:10" x14ac:dyDescent="0.15">
      <c r="A36" s="379" t="e">
        <f>HLOOKUP(308,'Fund 22 Grants'!$D$2:$W$3,2,FALSE)</f>
        <v>#N/A</v>
      </c>
      <c r="B36" s="380"/>
      <c r="C36" s="381" t="e">
        <f>HLOOKUP(308,'Fund 22 Grants'!$D$2:$W$4,3,FALSE)</f>
        <v>#N/A</v>
      </c>
      <c r="D36" s="194"/>
      <c r="E36" s="41">
        <v>0</v>
      </c>
      <c r="F36" s="41">
        <v>0</v>
      </c>
      <c r="G36" s="41">
        <v>0</v>
      </c>
      <c r="H36" s="383">
        <f>IF(ISERROR(HLOOKUP(308,'Fund 22 Grants'!$D$2:$W$12,11,FALSE)),0,(HLOOKUP(308,'Fund 22 Grants'!$D$2:$W$12,11,FALSE)))</f>
        <v>0</v>
      </c>
      <c r="I36" s="41">
        <v>0</v>
      </c>
      <c r="J36" s="564">
        <f t="shared" si="2"/>
        <v>0</v>
      </c>
    </row>
    <row r="37" spans="1:10" x14ac:dyDescent="0.15">
      <c r="A37" s="379" t="e">
        <f>HLOOKUP(309,'Fund 22 Grants'!$D$2:$W$3,2,FALSE)</f>
        <v>#N/A</v>
      </c>
      <c r="B37" s="380"/>
      <c r="C37" s="381" t="e">
        <f>HLOOKUP(309,'Fund 22 Grants'!$D$2:$W$4,3,FALSE)</f>
        <v>#N/A</v>
      </c>
      <c r="D37" s="194"/>
      <c r="E37" s="41">
        <v>0</v>
      </c>
      <c r="F37" s="41">
        <v>0</v>
      </c>
      <c r="G37" s="41">
        <v>0</v>
      </c>
      <c r="H37" s="383">
        <f>IF(ISERROR(HLOOKUP(309,'Fund 22 Grants'!$D$2:$W$12,11,FALSE)),0,(HLOOKUP(309,'Fund 22 Grants'!$D$2:$W$12,11,FALSE)))</f>
        <v>0</v>
      </c>
      <c r="I37" s="41">
        <v>0</v>
      </c>
      <c r="J37" s="564">
        <f t="shared" si="2"/>
        <v>0</v>
      </c>
    </row>
    <row r="38" spans="1:10" x14ac:dyDescent="0.15">
      <c r="A38" s="379" t="e">
        <f>HLOOKUP(310,'Fund 22 Grants'!$D$2:$W$3,2,FALSE)</f>
        <v>#N/A</v>
      </c>
      <c r="B38" s="380"/>
      <c r="C38" s="381" t="e">
        <f>HLOOKUP(310,'Fund 22 Grants'!$D$2:$W$4,3,FALSE)</f>
        <v>#N/A</v>
      </c>
      <c r="D38" s="194"/>
      <c r="E38" s="41">
        <v>0</v>
      </c>
      <c r="F38" s="41">
        <v>0</v>
      </c>
      <c r="G38" s="41">
        <v>0</v>
      </c>
      <c r="H38" s="383">
        <f>IF(ISERROR(HLOOKUP(310,'Fund 22 Grants'!$D$2:$W$12,11,FALSE)),0,(HLOOKUP(310,'Fund 22 Grants'!$D$2:$W$12,11,FALSE)))</f>
        <v>0</v>
      </c>
      <c r="I38" s="41">
        <v>0</v>
      </c>
      <c r="J38" s="564">
        <f t="shared" si="2"/>
        <v>0</v>
      </c>
    </row>
    <row r="39" spans="1:10" x14ac:dyDescent="0.15">
      <c r="A39" s="379" t="e">
        <f>HLOOKUP(311,'Fund 22 Grants'!$D$2:$W$3,2,FALSE)</f>
        <v>#N/A</v>
      </c>
      <c r="B39" s="380"/>
      <c r="C39" s="381" t="e">
        <f>HLOOKUP(311,'Fund 22 Grants'!$D$2:$W$4,3,FALSE)</f>
        <v>#N/A</v>
      </c>
      <c r="D39" s="194"/>
      <c r="E39" s="41">
        <v>0</v>
      </c>
      <c r="F39" s="41">
        <v>0</v>
      </c>
      <c r="G39" s="41">
        <v>0</v>
      </c>
      <c r="H39" s="383">
        <f>IF(ISERROR(HLOOKUP(311,'Fund 22 Grants'!$D$2:$W$12,11,FALSE)),0,(HLOOKUP(311,'Fund 22 Grants'!$D$2:$W$12,11,FALSE)))</f>
        <v>0</v>
      </c>
      <c r="I39" s="41">
        <v>0</v>
      </c>
      <c r="J39" s="564">
        <f t="shared" si="2"/>
        <v>0</v>
      </c>
    </row>
    <row r="40" spans="1:10" x14ac:dyDescent="0.15">
      <c r="A40" s="379" t="e">
        <f>HLOOKUP(312,'Fund 22 Grants'!$D$2:$W$3,2,FALSE)</f>
        <v>#N/A</v>
      </c>
      <c r="B40" s="380"/>
      <c r="C40" s="381" t="e">
        <f>HLOOKUP(312,'Fund 22 Grants'!$D$2:$W$4,3,FALSE)</f>
        <v>#N/A</v>
      </c>
      <c r="D40" s="194"/>
      <c r="E40" s="41">
        <v>0</v>
      </c>
      <c r="F40" s="41">
        <v>0</v>
      </c>
      <c r="G40" s="41">
        <v>0</v>
      </c>
      <c r="H40" s="383">
        <f>IF(ISERROR(HLOOKUP(312,'Fund 22 Grants'!$D$2:$W$12,11,FALSE)),0,(HLOOKUP(312,'Fund 22 Grants'!$D$2:$W$12,11,FALSE)))</f>
        <v>0</v>
      </c>
      <c r="I40" s="41">
        <v>0</v>
      </c>
      <c r="J40" s="564">
        <f t="shared" si="2"/>
        <v>0</v>
      </c>
    </row>
    <row r="41" spans="1:10" x14ac:dyDescent="0.15">
      <c r="A41" s="379" t="e">
        <f>HLOOKUP(313,'Fund 22 Grants'!$D$2:$W$3,2,FALSE)</f>
        <v>#N/A</v>
      </c>
      <c r="B41" s="380"/>
      <c r="C41" s="381" t="e">
        <f>HLOOKUP(313,'Fund 22 Grants'!$D$2:$W$4,3,FALSE)</f>
        <v>#N/A</v>
      </c>
      <c r="D41" s="194"/>
      <c r="E41" s="41">
        <v>0</v>
      </c>
      <c r="F41" s="41">
        <v>0</v>
      </c>
      <c r="G41" s="41">
        <v>0</v>
      </c>
      <c r="H41" s="383">
        <f>IF(ISERROR(HLOOKUP(313,'Fund 22 Grants'!$D$2:$W$12,11,FALSE)),0,(HLOOKUP(313,'Fund 22 Grants'!$D$2:$W$12,11,FALSE)))</f>
        <v>0</v>
      </c>
      <c r="I41" s="41">
        <v>0</v>
      </c>
      <c r="J41" s="564">
        <f t="shared" si="2"/>
        <v>0</v>
      </c>
    </row>
    <row r="42" spans="1:10" x14ac:dyDescent="0.15">
      <c r="A42" s="379" t="e">
        <f>HLOOKUP(314,'Fund 22 Grants'!$D$2:$W$3,2,FALSE)</f>
        <v>#N/A</v>
      </c>
      <c r="B42" s="380"/>
      <c r="C42" s="381" t="e">
        <f>HLOOKUP(314,'Fund 22 Grants'!$D$2:$W$4,3,FALSE)</f>
        <v>#N/A</v>
      </c>
      <c r="D42" s="194"/>
      <c r="E42" s="41">
        <v>0</v>
      </c>
      <c r="F42" s="41">
        <v>0</v>
      </c>
      <c r="G42" s="41">
        <v>0</v>
      </c>
      <c r="H42" s="383">
        <f>IF(ISERROR(HLOOKUP(314,'Fund 22 Grants'!$D$2:$W$12,11,FALSE)),0,(HLOOKUP(314,'Fund 22 Grants'!$D$2:$W$12,11,FALSE)))</f>
        <v>0</v>
      </c>
      <c r="I42" s="41">
        <v>0</v>
      </c>
      <c r="J42" s="564">
        <f t="shared" si="2"/>
        <v>0</v>
      </c>
    </row>
    <row r="43" spans="1:10" x14ac:dyDescent="0.15">
      <c r="A43" s="379" t="e">
        <f>HLOOKUP(315,'Fund 22 Grants'!$D$2:$W$3,2,FALSE)</f>
        <v>#N/A</v>
      </c>
      <c r="B43" s="380"/>
      <c r="C43" s="381" t="e">
        <f>HLOOKUP(315,'Fund 22 Grants'!$D$2:$W$4,3,FALSE)</f>
        <v>#N/A</v>
      </c>
      <c r="D43" s="194"/>
      <c r="E43" s="41">
        <v>0</v>
      </c>
      <c r="F43" s="41">
        <v>0</v>
      </c>
      <c r="G43" s="41">
        <v>0</v>
      </c>
      <c r="H43" s="383">
        <f>IF(ISERROR(HLOOKUP(315,'Fund 22 Grants'!$D$2:$W$12,11,FALSE)),0,(HLOOKUP(315,'Fund 22 Grants'!$D$2:$W$12,11,FALSE)))</f>
        <v>0</v>
      </c>
      <c r="I43" s="41">
        <v>0</v>
      </c>
      <c r="J43" s="564">
        <f t="shared" si="2"/>
        <v>0</v>
      </c>
    </row>
    <row r="44" spans="1:10" x14ac:dyDescent="0.15">
      <c r="A44" s="379" t="e">
        <f>HLOOKUP(316,'Fund 22 Grants'!$D$2:$W$3,2,FALSE)</f>
        <v>#N/A</v>
      </c>
      <c r="B44" s="380"/>
      <c r="C44" s="381" t="e">
        <f>HLOOKUP(316,'Fund 22 Grants'!$D$2:$W$4,3,FALSE)</f>
        <v>#N/A</v>
      </c>
      <c r="D44" s="194"/>
      <c r="E44" s="41">
        <v>0</v>
      </c>
      <c r="F44" s="41">
        <v>0</v>
      </c>
      <c r="G44" s="41">
        <v>0</v>
      </c>
      <c r="H44" s="383">
        <f>IF(ISERROR(HLOOKUP(316,'Fund 22 Grants'!$D$2:$W$12,11,FALSE)),0,(HLOOKUP(316,'Fund 22 Grants'!$D$2:$W$12,11,FALSE)))</f>
        <v>0</v>
      </c>
      <c r="I44" s="41">
        <v>0</v>
      </c>
      <c r="J44" s="564">
        <f t="shared" si="2"/>
        <v>0</v>
      </c>
    </row>
    <row r="45" spans="1:10" x14ac:dyDescent="0.15">
      <c r="A45" s="379" t="e">
        <f>HLOOKUP(317,'Fund 22 Grants'!$D$2:$W$3,2,FALSE)</f>
        <v>#N/A</v>
      </c>
      <c r="B45" s="380"/>
      <c r="C45" s="381" t="e">
        <f>HLOOKUP(317,'Fund 22 Grants'!$D$2:$W$4,3,FALSE)</f>
        <v>#N/A</v>
      </c>
      <c r="D45" s="194"/>
      <c r="E45" s="41">
        <v>0</v>
      </c>
      <c r="F45" s="41">
        <v>0</v>
      </c>
      <c r="G45" s="41">
        <v>0</v>
      </c>
      <c r="H45" s="383">
        <f>IF(ISERROR(HLOOKUP(317,'Fund 22 Grants'!$D$2:$W$12,11,FALSE)),0,(HLOOKUP(317,'Fund 22 Grants'!$D$2:$W$12,11,FALSE)))</f>
        <v>0</v>
      </c>
      <c r="I45" s="41">
        <v>0</v>
      </c>
      <c r="J45" s="564">
        <f t="shared" si="2"/>
        <v>0</v>
      </c>
    </row>
    <row r="46" spans="1:10" x14ac:dyDescent="0.15">
      <c r="A46" s="379" t="e">
        <f>HLOOKUP(318,'Fund 22 Grants'!$D$2:$W$3,2,FALSE)</f>
        <v>#N/A</v>
      </c>
      <c r="B46" s="380"/>
      <c r="C46" s="381" t="e">
        <f>HLOOKUP(318,'Fund 22 Grants'!$D$2:$W$4,3,FALSE)</f>
        <v>#N/A</v>
      </c>
      <c r="D46" s="194"/>
      <c r="E46" s="41">
        <v>0</v>
      </c>
      <c r="F46" s="41">
        <v>0</v>
      </c>
      <c r="G46" s="41">
        <v>0</v>
      </c>
      <c r="H46" s="383">
        <f>IF(ISERROR(HLOOKUP(318,'Fund 22 Grants'!$D$2:$W$12,11,FALSE)),0,(HLOOKUP(318,'Fund 22 Grants'!$D$2:$W$12,11,FALSE)))</f>
        <v>0</v>
      </c>
      <c r="I46" s="41">
        <v>0</v>
      </c>
      <c r="J46" s="564">
        <f t="shared" si="2"/>
        <v>0</v>
      </c>
    </row>
    <row r="47" spans="1:10" x14ac:dyDescent="0.15">
      <c r="A47" s="379" t="e">
        <f>HLOOKUP(319,'Fund 22 Grants'!$D$2:$W$3,2,FALSE)</f>
        <v>#N/A</v>
      </c>
      <c r="B47" s="380"/>
      <c r="C47" s="381" t="e">
        <f>HLOOKUP(319,'Fund 22 Grants'!$D$2:$W$4,3,FALSE)</f>
        <v>#N/A</v>
      </c>
      <c r="D47" s="194"/>
      <c r="E47" s="41">
        <v>0</v>
      </c>
      <c r="F47" s="41">
        <v>0</v>
      </c>
      <c r="G47" s="41">
        <v>0</v>
      </c>
      <c r="H47" s="383">
        <f>IF(ISERROR(HLOOKUP(319,'Fund 22 Grants'!$D$2:$W$12,11,FALSE)),0,(HLOOKUP(319,'Fund 22 Grants'!$D$2:$W$12,11,FALSE)))</f>
        <v>0</v>
      </c>
      <c r="I47" s="41">
        <v>0</v>
      </c>
      <c r="J47" s="564">
        <f t="shared" si="2"/>
        <v>0</v>
      </c>
    </row>
    <row r="48" spans="1:10" x14ac:dyDescent="0.15">
      <c r="A48" s="379" t="e">
        <f>HLOOKUP(320,'Fund 22 Grants'!$D$2:$W$3,2,FALSE)</f>
        <v>#N/A</v>
      </c>
      <c r="B48" s="380"/>
      <c r="C48" s="381" t="e">
        <f>HLOOKUP(320,'Fund 22 Grants'!$D$2:$W$4,3,FALSE)</f>
        <v>#N/A</v>
      </c>
      <c r="D48" s="115"/>
      <c r="E48" s="41">
        <v>0</v>
      </c>
      <c r="F48" s="41">
        <v>0</v>
      </c>
      <c r="G48" s="41">
        <v>0</v>
      </c>
      <c r="H48" s="383">
        <f>IF(ISERROR(HLOOKUP(320,'Fund 22 Grants'!$D$2:$W$12,11,FALSE)),0,(HLOOKUP(320,'Fund 22 Grants'!$D$2:$W$12,11,FALSE)))</f>
        <v>0</v>
      </c>
      <c r="I48" s="41">
        <v>0</v>
      </c>
      <c r="J48" s="564">
        <f>H48+I48</f>
        <v>0</v>
      </c>
    </row>
    <row r="49" spans="1:10" ht="11.25" thickBot="1" x14ac:dyDescent="0.2">
      <c r="A49" s="384"/>
      <c r="B49" s="385"/>
      <c r="C49" s="172"/>
      <c r="D49" s="115"/>
      <c r="E49" s="14"/>
      <c r="F49" s="14"/>
      <c r="G49" s="14"/>
      <c r="H49" s="14"/>
      <c r="J49" s="167"/>
    </row>
    <row r="50" spans="1:10" ht="12" thickTop="1" thickBot="1" x14ac:dyDescent="0.2">
      <c r="C50" s="115" t="s">
        <v>1187</v>
      </c>
      <c r="E50" s="169">
        <f t="shared" ref="E50:J50" si="3">SUM(E29:E49)</f>
        <v>0</v>
      </c>
      <c r="F50" s="169">
        <f t="shared" si="3"/>
        <v>0</v>
      </c>
      <c r="G50" s="169">
        <f t="shared" si="3"/>
        <v>0</v>
      </c>
      <c r="H50" s="169">
        <f t="shared" si="3"/>
        <v>0</v>
      </c>
      <c r="I50" s="169">
        <f t="shared" si="3"/>
        <v>0</v>
      </c>
      <c r="J50" s="169">
        <f t="shared" si="3"/>
        <v>0</v>
      </c>
    </row>
    <row r="51" spans="1:10" ht="11.25" thickTop="1" x14ac:dyDescent="0.15">
      <c r="F51" s="159"/>
      <c r="G51" s="159"/>
      <c r="J51" s="167"/>
    </row>
    <row r="52" spans="1:10" x14ac:dyDescent="0.15">
      <c r="B52" s="40" t="s">
        <v>1346</v>
      </c>
      <c r="D52" s="35"/>
      <c r="F52" s="159"/>
      <c r="G52" s="159"/>
      <c r="J52" s="167"/>
    </row>
    <row r="53" spans="1:10" x14ac:dyDescent="0.15">
      <c r="A53" s="35" t="s">
        <v>203</v>
      </c>
      <c r="B53" s="159"/>
      <c r="C53" s="35" t="s">
        <v>1330</v>
      </c>
      <c r="D53" s="202"/>
      <c r="F53" s="159"/>
      <c r="G53" s="159"/>
      <c r="J53" s="167"/>
    </row>
    <row r="54" spans="1:10" x14ac:dyDescent="0.15">
      <c r="A54" s="379">
        <f>HLOOKUP(101,'Fund 22 Grants'!$D$2:$W$3,2,FALSE)</f>
        <v>0</v>
      </c>
      <c r="B54" s="380"/>
      <c r="C54" s="381">
        <f>HLOOKUP(101,'Fund 22 Grants'!$D$2:$W$4,3,FALSE)</f>
        <v>0</v>
      </c>
      <c r="D54" s="202"/>
      <c r="E54" s="41">
        <v>0</v>
      </c>
      <c r="F54" s="41">
        <v>0</v>
      </c>
      <c r="G54" s="41">
        <v>0</v>
      </c>
      <c r="H54" s="383">
        <f>IF(ISERROR(HLOOKUP(101,'Fund 22 Grants'!$D$2:$W$12,11,FALSE)),0,(HLOOKUP(101,'Fund 22 Grants'!$D$2:$W$12,11,FALSE)))</f>
        <v>0</v>
      </c>
      <c r="I54" s="41">
        <v>0</v>
      </c>
      <c r="J54" s="564">
        <f t="shared" ref="J54:J63" si="4">H54+I54</f>
        <v>0</v>
      </c>
    </row>
    <row r="55" spans="1:10" x14ac:dyDescent="0.15">
      <c r="A55" s="379">
        <f>HLOOKUP(102,'Fund 22 Grants'!$D$2:$W$3,2,FALSE)</f>
        <v>0</v>
      </c>
      <c r="B55" s="380"/>
      <c r="C55" s="381">
        <f>HLOOKUP(102,'Fund 22 Grants'!$D$2:$W$4,3,FALSE)</f>
        <v>0</v>
      </c>
      <c r="D55" s="202"/>
      <c r="E55" s="41">
        <v>0</v>
      </c>
      <c r="F55" s="41">
        <v>0</v>
      </c>
      <c r="G55" s="41">
        <v>0</v>
      </c>
      <c r="H55" s="383">
        <f>IF(ISERROR(HLOOKUP(102,'Fund 22 Grants'!$D$2:$W$12,11,FALSE)),0,(HLOOKUP(102,'Fund 22 Grants'!$D$2:$W$12,11,FALSE)))</f>
        <v>0</v>
      </c>
      <c r="I55" s="41">
        <v>0</v>
      </c>
      <c r="J55" s="564">
        <f t="shared" si="4"/>
        <v>0</v>
      </c>
    </row>
    <row r="56" spans="1:10" x14ac:dyDescent="0.15">
      <c r="A56" s="379">
        <f>HLOOKUP(103,'Fund 22 Grants'!$D$2:$W$3,2,FALSE)</f>
        <v>0</v>
      </c>
      <c r="B56" s="380"/>
      <c r="C56" s="381">
        <f>HLOOKUP(103,'Fund 22 Grants'!$D$2:$W$4,3,FALSE)</f>
        <v>0</v>
      </c>
      <c r="D56" s="202"/>
      <c r="E56" s="41">
        <v>0</v>
      </c>
      <c r="F56" s="41">
        <v>0</v>
      </c>
      <c r="G56" s="41">
        <v>0</v>
      </c>
      <c r="H56" s="383">
        <f>IF(ISERROR(HLOOKUP(103,'Fund 22 Grants'!$D$2:$W$12,11,FALSE)),0,(HLOOKUP(103,'Fund 22 Grants'!$D$2:$W$12,11,FALSE)))</f>
        <v>0</v>
      </c>
      <c r="I56" s="41">
        <v>0</v>
      </c>
      <c r="J56" s="564">
        <f t="shared" si="4"/>
        <v>0</v>
      </c>
    </row>
    <row r="57" spans="1:10" x14ac:dyDescent="0.15">
      <c r="A57" s="379">
        <f>HLOOKUP(104,'Fund 22 Grants'!$D$2:$W$3,2,FALSE)</f>
        <v>0</v>
      </c>
      <c r="B57" s="380"/>
      <c r="C57" s="381">
        <f>HLOOKUP(104,'Fund 22 Grants'!$D$2:$W$4,3,FALSE)</f>
        <v>0</v>
      </c>
      <c r="D57" s="202"/>
      <c r="E57" s="41">
        <v>0</v>
      </c>
      <c r="F57" s="41">
        <v>0</v>
      </c>
      <c r="G57" s="41">
        <v>0</v>
      </c>
      <c r="H57" s="383">
        <f>IF(ISERROR(HLOOKUP(104,'Fund 22 Grants'!$D$2:$W$12,11,FALSE)),0,(HLOOKUP(104,'Fund 22 Grants'!$D$2:$W$12,11,FALSE)))</f>
        <v>0</v>
      </c>
      <c r="I57" s="41">
        <v>0</v>
      </c>
      <c r="J57" s="564">
        <f t="shared" si="4"/>
        <v>0</v>
      </c>
    </row>
    <row r="58" spans="1:10" x14ac:dyDescent="0.15">
      <c r="A58" s="379">
        <f>HLOOKUP(105,'Fund 22 Grants'!$D$2:$W$3,2,FALSE)</f>
        <v>0</v>
      </c>
      <c r="B58" s="380"/>
      <c r="C58" s="381">
        <f>HLOOKUP(105,'Fund 22 Grants'!$D$2:$W$4,3,FALSE)</f>
        <v>0</v>
      </c>
      <c r="D58" s="202"/>
      <c r="E58" s="41">
        <v>0</v>
      </c>
      <c r="F58" s="41">
        <v>0</v>
      </c>
      <c r="G58" s="41">
        <v>0</v>
      </c>
      <c r="H58" s="383">
        <f>IF(ISERROR(HLOOKUP(105,'Fund 22 Grants'!$D$2:$W$12,11,FALSE)),0,(HLOOKUP(105,'Fund 22 Grants'!$D$2:$W$12,11,FALSE)))</f>
        <v>0</v>
      </c>
      <c r="I58" s="41">
        <v>0</v>
      </c>
      <c r="J58" s="564">
        <f t="shared" si="4"/>
        <v>0</v>
      </c>
    </row>
    <row r="59" spans="1:10" x14ac:dyDescent="0.15">
      <c r="A59" s="379">
        <f>HLOOKUP(106,'Fund 22 Grants'!$D$2:$W$3,2,FALSE)</f>
        <v>0</v>
      </c>
      <c r="B59" s="380"/>
      <c r="C59" s="381">
        <f>HLOOKUP(106,'Fund 22 Grants'!$D$2:$W$4,3,FALSE)</f>
        <v>0</v>
      </c>
      <c r="D59" s="202"/>
      <c r="E59" s="41">
        <v>0</v>
      </c>
      <c r="F59" s="41">
        <v>0</v>
      </c>
      <c r="G59" s="41">
        <v>0</v>
      </c>
      <c r="H59" s="383">
        <f>IF(ISERROR(HLOOKUP(106,'Fund 22 Grants'!$D$2:$W$12,11,FALSE)),0,(HLOOKUP(106,'Fund 22 Grants'!$D$2:$W$12,11,FALSE)))</f>
        <v>0</v>
      </c>
      <c r="I59" s="41">
        <v>0</v>
      </c>
      <c r="J59" s="564">
        <f t="shared" si="4"/>
        <v>0</v>
      </c>
    </row>
    <row r="60" spans="1:10" x14ac:dyDescent="0.15">
      <c r="A60" s="379">
        <f>HLOOKUP(107,'Fund 22 Grants'!$D$2:$W$3,2,FALSE)</f>
        <v>0</v>
      </c>
      <c r="B60" s="380"/>
      <c r="C60" s="381">
        <f>HLOOKUP(107,'Fund 22 Grants'!$D$2:$W$4,3,FALSE)</f>
        <v>0</v>
      </c>
      <c r="D60" s="202"/>
      <c r="E60" s="41">
        <v>0</v>
      </c>
      <c r="F60" s="41">
        <v>0</v>
      </c>
      <c r="G60" s="41">
        <v>0</v>
      </c>
      <c r="H60" s="383">
        <f>IF(ISERROR(HLOOKUP(107,'Fund 22 Grants'!$D$2:$W$12,11,FALSE)),0,(HLOOKUP(107,'Fund 22 Grants'!$D$2:$W$12,11,FALSE)))</f>
        <v>0</v>
      </c>
      <c r="I60" s="41">
        <v>0</v>
      </c>
      <c r="J60" s="564">
        <f t="shared" si="4"/>
        <v>0</v>
      </c>
    </row>
    <row r="61" spans="1:10" x14ac:dyDescent="0.15">
      <c r="A61" s="379">
        <f>HLOOKUP(108,'Fund 22 Grants'!$D$2:$W$3,2,FALSE)</f>
        <v>0</v>
      </c>
      <c r="B61" s="380"/>
      <c r="C61" s="381">
        <f>HLOOKUP(108,'Fund 22 Grants'!$D$2:$W$4,3,FALSE)</f>
        <v>0</v>
      </c>
      <c r="D61" s="202"/>
      <c r="E61" s="41">
        <v>0</v>
      </c>
      <c r="F61" s="41">
        <v>0</v>
      </c>
      <c r="G61" s="41">
        <v>0</v>
      </c>
      <c r="H61" s="383">
        <f>IF(ISERROR(HLOOKUP(108,'Fund 22 Grants'!$D$2:$W$12,11,FALSE)),0,(HLOOKUP(108,'Fund 22 Grants'!$D$2:$W$12,11,FALSE)))</f>
        <v>0</v>
      </c>
      <c r="I61" s="41">
        <v>0</v>
      </c>
      <c r="J61" s="564">
        <f t="shared" si="4"/>
        <v>0</v>
      </c>
    </row>
    <row r="62" spans="1:10" x14ac:dyDescent="0.15">
      <c r="A62" s="379">
        <f>HLOOKUP(109,'Fund 22 Grants'!$D$2:$W$3,2,FALSE)</f>
        <v>0</v>
      </c>
      <c r="B62" s="380"/>
      <c r="C62" s="381">
        <f>HLOOKUP(109,'Fund 22 Grants'!$D$2:$W$4,3,FALSE)</f>
        <v>0</v>
      </c>
      <c r="D62" s="202"/>
      <c r="E62" s="41">
        <v>0</v>
      </c>
      <c r="F62" s="41">
        <v>0</v>
      </c>
      <c r="G62" s="41">
        <v>0</v>
      </c>
      <c r="H62" s="383">
        <f>IF(ISERROR(HLOOKUP(109,'Fund 22 Grants'!$D$2:$W$12,11,FALSE)),0,(HLOOKUP(109,'Fund 22 Grants'!$D$2:$W$12,11,FALSE)))</f>
        <v>0</v>
      </c>
      <c r="I62" s="41">
        <v>0</v>
      </c>
      <c r="J62" s="564">
        <f t="shared" si="4"/>
        <v>0</v>
      </c>
    </row>
    <row r="63" spans="1:10" x14ac:dyDescent="0.15">
      <c r="A63" s="379">
        <f>HLOOKUP(110,'Fund 22 Grants'!$D$2:$W$3,2,FALSE)</f>
        <v>0</v>
      </c>
      <c r="B63" s="380"/>
      <c r="C63" s="381">
        <f>HLOOKUP(110,'Fund 22 Grants'!$D$2:$W$4,3,FALSE)</f>
        <v>0</v>
      </c>
      <c r="D63" s="40"/>
      <c r="E63" s="41">
        <v>0</v>
      </c>
      <c r="F63" s="41">
        <v>0</v>
      </c>
      <c r="G63" s="41">
        <v>0</v>
      </c>
      <c r="H63" s="383">
        <f>IF(ISERROR(HLOOKUP(110,'Fund 22 Grants'!$D$2:$W$12,11,FALSE)),0,(HLOOKUP(110,'Fund 22 Grants'!$D$2:$W$12,11,FALSE)))</f>
        <v>0</v>
      </c>
      <c r="I63" s="41">
        <v>0</v>
      </c>
      <c r="J63" s="564">
        <f t="shared" si="4"/>
        <v>0</v>
      </c>
    </row>
    <row r="64" spans="1:10" ht="11.25" thickBot="1" x14ac:dyDescent="0.2">
      <c r="C64" s="40"/>
      <c r="D64" s="115"/>
      <c r="F64" s="159"/>
      <c r="G64" s="159"/>
      <c r="J64" s="167"/>
    </row>
    <row r="65" spans="1:10" ht="12" thickTop="1" thickBot="1" x14ac:dyDescent="0.2">
      <c r="A65" s="115" t="s">
        <v>1527</v>
      </c>
      <c r="C65" s="115" t="s">
        <v>1350</v>
      </c>
      <c r="E65" s="151">
        <f t="shared" ref="E65:J65" si="5">SUM(E54:E64)</f>
        <v>0</v>
      </c>
      <c r="F65" s="151">
        <f t="shared" si="5"/>
        <v>0</v>
      </c>
      <c r="G65" s="151">
        <f t="shared" si="5"/>
        <v>0</v>
      </c>
      <c r="H65" s="151">
        <f t="shared" si="5"/>
        <v>0</v>
      </c>
      <c r="I65" s="151">
        <f t="shared" si="5"/>
        <v>0</v>
      </c>
      <c r="J65" s="169">
        <f t="shared" si="5"/>
        <v>0</v>
      </c>
    </row>
    <row r="66" spans="1:10" ht="12" thickTop="1" thickBot="1" x14ac:dyDescent="0.2">
      <c r="D66" s="115"/>
      <c r="F66" s="159"/>
      <c r="G66" s="159"/>
      <c r="J66" s="167"/>
    </row>
    <row r="67" spans="1:10" ht="12" thickTop="1" thickBot="1" x14ac:dyDescent="0.2">
      <c r="C67" s="115" t="s">
        <v>416</v>
      </c>
      <c r="D67" s="115"/>
      <c r="E67" s="193">
        <f t="shared" ref="E67:J67" si="6">E23+E50+E65</f>
        <v>0</v>
      </c>
      <c r="F67" s="193">
        <f t="shared" si="6"/>
        <v>0</v>
      </c>
      <c r="G67" s="193">
        <f t="shared" si="6"/>
        <v>0</v>
      </c>
      <c r="H67" s="193">
        <f t="shared" si="6"/>
        <v>0</v>
      </c>
      <c r="I67" s="193">
        <f t="shared" si="6"/>
        <v>0</v>
      </c>
      <c r="J67" s="600">
        <f t="shared" si="6"/>
        <v>0</v>
      </c>
    </row>
    <row r="68" spans="1:10" ht="11.25" thickTop="1" x14ac:dyDescent="0.15">
      <c r="C68" s="115"/>
      <c r="D68" s="115"/>
      <c r="F68" s="159"/>
      <c r="G68" s="159"/>
      <c r="J68" s="167"/>
    </row>
    <row r="69" spans="1:10" x14ac:dyDescent="0.15">
      <c r="B69" s="21" t="s">
        <v>1223</v>
      </c>
      <c r="C69" s="115"/>
      <c r="D69" s="35"/>
      <c r="F69" s="159"/>
      <c r="G69" s="159"/>
      <c r="J69" s="167"/>
    </row>
    <row r="70" spans="1:10" x14ac:dyDescent="0.15">
      <c r="A70" s="35" t="s">
        <v>203</v>
      </c>
      <c r="C70" s="35" t="s">
        <v>1351</v>
      </c>
      <c r="D70" s="203"/>
      <c r="F70" s="159"/>
      <c r="G70" s="159"/>
      <c r="J70" s="167"/>
    </row>
    <row r="71" spans="1:10" x14ac:dyDescent="0.15">
      <c r="A71" s="162" t="s">
        <v>105</v>
      </c>
      <c r="B71" s="115">
        <v>5</v>
      </c>
      <c r="C71" s="2" t="s">
        <v>860</v>
      </c>
      <c r="E71" s="41">
        <v>0</v>
      </c>
      <c r="F71" s="41">
        <v>0</v>
      </c>
      <c r="G71" s="41">
        <v>0</v>
      </c>
      <c r="H71" s="41">
        <v>0</v>
      </c>
      <c r="I71" s="534">
        <v>0</v>
      </c>
      <c r="J71" s="535">
        <f>SUM(H71+I71)</f>
        <v>0</v>
      </c>
    </row>
    <row r="72" spans="1:10" x14ac:dyDescent="0.15">
      <c r="C72" s="115"/>
      <c r="D72" s="115"/>
      <c r="F72" s="159"/>
      <c r="G72" s="159"/>
      <c r="J72" s="167"/>
    </row>
    <row r="73" spans="1:10" x14ac:dyDescent="0.15">
      <c r="B73" s="21" t="s">
        <v>792</v>
      </c>
      <c r="C73" s="115"/>
      <c r="D73" s="35"/>
      <c r="F73" s="159"/>
      <c r="G73" s="159"/>
      <c r="J73" s="167"/>
    </row>
    <row r="74" spans="1:10" x14ac:dyDescent="0.15">
      <c r="A74" s="35" t="s">
        <v>203</v>
      </c>
      <c r="C74" s="35" t="s">
        <v>1034</v>
      </c>
      <c r="D74" s="203"/>
      <c r="F74" s="159"/>
      <c r="G74" s="159"/>
      <c r="J74" s="167"/>
    </row>
    <row r="75" spans="1:10" x14ac:dyDescent="0.15">
      <c r="A75" s="374"/>
      <c r="C75" s="195"/>
      <c r="D75" s="203"/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564">
        <f t="shared" ref="J75:J84" si="7">H75+I75</f>
        <v>0</v>
      </c>
    </row>
    <row r="76" spans="1:10" x14ac:dyDescent="0.15">
      <c r="A76" s="374"/>
      <c r="C76" s="195"/>
      <c r="D76" s="203"/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564">
        <f t="shared" si="7"/>
        <v>0</v>
      </c>
    </row>
    <row r="77" spans="1:10" x14ac:dyDescent="0.15">
      <c r="A77" s="374"/>
      <c r="C77" s="195"/>
      <c r="D77" s="203"/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564">
        <f t="shared" si="7"/>
        <v>0</v>
      </c>
    </row>
    <row r="78" spans="1:10" x14ac:dyDescent="0.15">
      <c r="A78" s="374"/>
      <c r="C78" s="195"/>
      <c r="D78" s="203"/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564">
        <f t="shared" si="7"/>
        <v>0</v>
      </c>
    </row>
    <row r="79" spans="1:10" x14ac:dyDescent="0.15">
      <c r="A79" s="374"/>
      <c r="C79" s="195"/>
      <c r="D79" s="203"/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564">
        <f t="shared" si="7"/>
        <v>0</v>
      </c>
    </row>
    <row r="80" spans="1:10" x14ac:dyDescent="0.15">
      <c r="A80" s="374"/>
      <c r="C80" s="195"/>
      <c r="D80" s="203"/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564">
        <f t="shared" si="7"/>
        <v>0</v>
      </c>
    </row>
    <row r="81" spans="1:10" x14ac:dyDescent="0.15">
      <c r="A81" s="374"/>
      <c r="C81" s="195"/>
      <c r="D81" s="203"/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564">
        <f t="shared" si="7"/>
        <v>0</v>
      </c>
    </row>
    <row r="82" spans="1:10" x14ac:dyDescent="0.15">
      <c r="A82" s="374"/>
      <c r="C82" s="195"/>
      <c r="D82" s="203"/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564">
        <f t="shared" si="7"/>
        <v>0</v>
      </c>
    </row>
    <row r="83" spans="1:10" x14ac:dyDescent="0.15">
      <c r="A83" s="374"/>
      <c r="C83" s="195"/>
      <c r="D83" s="203"/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564">
        <f t="shared" si="7"/>
        <v>0</v>
      </c>
    </row>
    <row r="84" spans="1:10" x14ac:dyDescent="0.15">
      <c r="A84" s="374"/>
      <c r="C84" s="195"/>
      <c r="D84" s="115"/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564">
        <f t="shared" si="7"/>
        <v>0</v>
      </c>
    </row>
    <row r="85" spans="1:10" ht="11.25" thickBot="1" x14ac:dyDescent="0.2">
      <c r="C85" s="115"/>
      <c r="D85" s="115"/>
      <c r="F85" s="159"/>
      <c r="G85" s="159"/>
      <c r="J85" s="167"/>
    </row>
    <row r="86" spans="1:10" ht="12" thickTop="1" thickBot="1" x14ac:dyDescent="0.2">
      <c r="C86" s="115" t="s">
        <v>793</v>
      </c>
      <c r="D86" s="115"/>
      <c r="E86" s="193">
        <f t="shared" ref="E86:J86" si="8">SUM(E75:E85)</f>
        <v>0</v>
      </c>
      <c r="F86" s="193">
        <f t="shared" si="8"/>
        <v>0</v>
      </c>
      <c r="G86" s="193">
        <f t="shared" si="8"/>
        <v>0</v>
      </c>
      <c r="H86" s="193">
        <f t="shared" si="8"/>
        <v>0</v>
      </c>
      <c r="I86" s="193">
        <f t="shared" si="8"/>
        <v>0</v>
      </c>
      <c r="J86" s="600">
        <f t="shared" si="8"/>
        <v>0</v>
      </c>
    </row>
    <row r="87" spans="1:10" ht="21.75" customHeight="1" thickTop="1" thickBot="1" x14ac:dyDescent="0.2">
      <c r="C87" s="115"/>
      <c r="D87" s="196"/>
      <c r="F87" s="159"/>
      <c r="G87" s="159"/>
      <c r="J87" s="167"/>
    </row>
    <row r="88" spans="1:10" ht="11.25" thickBot="1" x14ac:dyDescent="0.2">
      <c r="A88" s="777" t="s">
        <v>1352</v>
      </c>
      <c r="B88" s="777"/>
      <c r="C88" s="777"/>
      <c r="D88" s="115"/>
      <c r="E88" s="171">
        <f t="shared" ref="E88:J88" si="9">E6+E67+E71+E86</f>
        <v>0</v>
      </c>
      <c r="F88" s="171">
        <f t="shared" si="9"/>
        <v>0</v>
      </c>
      <c r="G88" s="171">
        <f t="shared" si="9"/>
        <v>0</v>
      </c>
      <c r="H88" s="171">
        <f t="shared" si="9"/>
        <v>0</v>
      </c>
      <c r="I88" s="171">
        <f t="shared" si="9"/>
        <v>0</v>
      </c>
      <c r="J88" s="171">
        <f t="shared" si="9"/>
        <v>0</v>
      </c>
    </row>
    <row r="89" spans="1:10" x14ac:dyDescent="0.15">
      <c r="C89" s="115"/>
      <c r="D89" s="115"/>
      <c r="F89" s="159"/>
      <c r="G89" s="159"/>
      <c r="J89" s="167"/>
    </row>
    <row r="90" spans="1:10" x14ac:dyDescent="0.15">
      <c r="A90" s="660" t="s">
        <v>824</v>
      </c>
      <c r="B90" s="424"/>
      <c r="C90" s="495" t="s">
        <v>816</v>
      </c>
      <c r="D90" s="423"/>
      <c r="E90" s="423"/>
      <c r="F90" s="423"/>
      <c r="G90" s="423"/>
      <c r="H90" s="423"/>
      <c r="I90" s="179"/>
      <c r="J90" s="167"/>
    </row>
    <row r="91" spans="1:10" x14ac:dyDescent="0.15">
      <c r="A91" s="436" t="s">
        <v>105</v>
      </c>
      <c r="B91" s="501" t="s">
        <v>1437</v>
      </c>
      <c r="C91" s="2" t="s">
        <v>40</v>
      </c>
      <c r="E91" s="41">
        <v>0</v>
      </c>
      <c r="F91" s="41">
        <v>0</v>
      </c>
      <c r="G91" s="41">
        <v>0</v>
      </c>
      <c r="H91" s="41">
        <v>0</v>
      </c>
      <c r="I91" s="534">
        <v>0</v>
      </c>
      <c r="J91" s="535">
        <f>SUM(H91+I91)</f>
        <v>0</v>
      </c>
    </row>
    <row r="92" spans="1:10" x14ac:dyDescent="0.15">
      <c r="A92" s="490"/>
      <c r="B92" s="424"/>
      <c r="C92" s="423"/>
      <c r="D92" s="423"/>
      <c r="E92" s="423"/>
      <c r="F92" s="423"/>
      <c r="G92" s="423"/>
      <c r="H92" s="423"/>
      <c r="I92" s="423"/>
      <c r="J92" s="167"/>
    </row>
    <row r="93" spans="1:10" x14ac:dyDescent="0.15">
      <c r="C93" s="115"/>
      <c r="F93" s="159"/>
      <c r="G93" s="159"/>
      <c r="J93" s="167"/>
    </row>
    <row r="94" spans="1:10" x14ac:dyDescent="0.15">
      <c r="A94" s="18"/>
      <c r="C94" s="209" t="s">
        <v>199</v>
      </c>
      <c r="D94" s="35"/>
      <c r="F94" s="159"/>
      <c r="G94" s="8"/>
      <c r="J94" s="167"/>
    </row>
    <row r="95" spans="1:10" x14ac:dyDescent="0.15">
      <c r="A95" s="35" t="s">
        <v>203</v>
      </c>
      <c r="B95" s="159"/>
      <c r="C95" s="35" t="s">
        <v>1189</v>
      </c>
      <c r="D95" s="40"/>
      <c r="F95" s="159"/>
      <c r="G95" s="8"/>
      <c r="J95" s="167"/>
    </row>
    <row r="96" spans="1:10" x14ac:dyDescent="0.15">
      <c r="C96" s="40" t="s">
        <v>204</v>
      </c>
      <c r="D96" s="115"/>
      <c r="F96" s="177"/>
      <c r="G96" s="159"/>
      <c r="J96" s="167"/>
    </row>
    <row r="97" spans="1:10" x14ac:dyDescent="0.15">
      <c r="A97" s="379" t="e">
        <f>HLOOKUP(201,'Fund 22 Grants'!$D$2:$W$3,2,FALSE)</f>
        <v>#N/A</v>
      </c>
      <c r="B97" s="380"/>
      <c r="C97" s="381" t="e">
        <f>HLOOKUP(201,'Fund 22 Grants'!$D$2:$W$4,3,FALSE)</f>
        <v>#N/A</v>
      </c>
      <c r="D97" s="115"/>
      <c r="E97" s="41">
        <v>0</v>
      </c>
      <c r="F97" s="41">
        <v>0</v>
      </c>
      <c r="G97" s="41">
        <v>0</v>
      </c>
      <c r="H97" s="383">
        <f>IF(ISERROR(HLOOKUP(201,'Fund 22 Grants'!$D$2:$W$113,112,FALSE)),0,(HLOOKUP(201,'Fund 22 Grants'!$D$2:$W$113,112,FALSE)))</f>
        <v>0</v>
      </c>
      <c r="I97" s="41">
        <v>0</v>
      </c>
      <c r="J97" s="564">
        <f t="shared" ref="J97:J108" si="10">H97+I97</f>
        <v>0</v>
      </c>
    </row>
    <row r="98" spans="1:10" x14ac:dyDescent="0.15">
      <c r="A98" s="379" t="e">
        <f>HLOOKUP(202,'Fund 22 Grants'!$D$2:$W$3,2,FALSE)</f>
        <v>#N/A</v>
      </c>
      <c r="B98" s="380"/>
      <c r="C98" s="381" t="e">
        <f>HLOOKUP(202,'Fund 22 Grants'!$D$2:$W$4,3,FALSE)</f>
        <v>#N/A</v>
      </c>
      <c r="D98" s="115"/>
      <c r="E98" s="41">
        <v>0</v>
      </c>
      <c r="F98" s="41">
        <v>0</v>
      </c>
      <c r="G98" s="41">
        <v>0</v>
      </c>
      <c r="H98" s="383">
        <f>IF(ISERROR(HLOOKUP(202,'Fund 22 Grants'!$D$2:$W$113,112,FALSE)),0,(HLOOKUP(202,'Fund 22 Grants'!$D$2:$W$113,112,FALSE)))</f>
        <v>0</v>
      </c>
      <c r="I98" s="41">
        <v>0</v>
      </c>
      <c r="J98" s="564">
        <f t="shared" si="10"/>
        <v>0</v>
      </c>
    </row>
    <row r="99" spans="1:10" x14ac:dyDescent="0.15">
      <c r="A99" s="379" t="e">
        <f>HLOOKUP(203,'Fund 22 Grants'!$D$2:$W$3,2,FALSE)</f>
        <v>#N/A</v>
      </c>
      <c r="B99" s="380"/>
      <c r="C99" s="381" t="e">
        <f>HLOOKUP(203,'Fund 22 Grants'!$D$2:$W$4,3,FALSE)</f>
        <v>#N/A</v>
      </c>
      <c r="D99" s="115"/>
      <c r="E99" s="41">
        <v>0</v>
      </c>
      <c r="F99" s="41">
        <v>0</v>
      </c>
      <c r="G99" s="41">
        <v>0</v>
      </c>
      <c r="H99" s="383">
        <f>IF(ISERROR(HLOOKUP(203,'Fund 22 Grants'!$D$2:$W$113,112,FALSE)),0,(HLOOKUP(203,'Fund 22 Grants'!$D$2:$W$113,112,FALSE)))</f>
        <v>0</v>
      </c>
      <c r="I99" s="41">
        <v>0</v>
      </c>
      <c r="J99" s="564">
        <f t="shared" si="10"/>
        <v>0</v>
      </c>
    </row>
    <row r="100" spans="1:10" x14ac:dyDescent="0.15">
      <c r="A100" s="379" t="e">
        <f>HLOOKUP(204,'Fund 22 Grants'!$D$2:$W$3,2,FALSE)</f>
        <v>#N/A</v>
      </c>
      <c r="B100" s="380"/>
      <c r="C100" s="381" t="e">
        <f>HLOOKUP(204,'Fund 22 Grants'!$D$2:$W$4,3,FALSE)</f>
        <v>#N/A</v>
      </c>
      <c r="D100" s="115"/>
      <c r="E100" s="41">
        <v>0</v>
      </c>
      <c r="F100" s="41">
        <v>0</v>
      </c>
      <c r="G100" s="41">
        <v>0</v>
      </c>
      <c r="H100" s="383">
        <f>IF(ISERROR(HLOOKUP(204,'Fund 22 Grants'!$D$2:$W$113,112,FALSE)),0,(HLOOKUP(204,'Fund 22 Grants'!$D$2:$W$113,112,FALSE)))</f>
        <v>0</v>
      </c>
      <c r="I100" s="41">
        <v>0</v>
      </c>
      <c r="J100" s="564">
        <f t="shared" si="10"/>
        <v>0</v>
      </c>
    </row>
    <row r="101" spans="1:10" x14ac:dyDescent="0.15">
      <c r="A101" s="379" t="e">
        <f>HLOOKUP(205,'Fund 22 Grants'!$D$2:$W$3,2,FALSE)</f>
        <v>#N/A</v>
      </c>
      <c r="B101" s="380"/>
      <c r="C101" s="381" t="e">
        <f>HLOOKUP(205,'Fund 22 Grants'!$D$2:$W$4,3,FALSE)</f>
        <v>#N/A</v>
      </c>
      <c r="D101" s="115"/>
      <c r="E101" s="41">
        <v>0</v>
      </c>
      <c r="F101" s="41">
        <v>0</v>
      </c>
      <c r="G101" s="41">
        <v>0</v>
      </c>
      <c r="H101" s="383">
        <f>IF(ISERROR(HLOOKUP(205,'Fund 22 Grants'!$D$2:$W$113,112,FALSE)),0,(HLOOKUP(205,'Fund 22 Grants'!$D$2:$W$113,112,FALSE)))</f>
        <v>0</v>
      </c>
      <c r="I101" s="41">
        <v>0</v>
      </c>
      <c r="J101" s="564">
        <f t="shared" si="10"/>
        <v>0</v>
      </c>
    </row>
    <row r="102" spans="1:10" x14ac:dyDescent="0.15">
      <c r="A102" s="379" t="e">
        <f>HLOOKUP(206,'Fund 22 Grants'!$D$2:$W$3,2,FALSE)</f>
        <v>#N/A</v>
      </c>
      <c r="B102" s="380"/>
      <c r="C102" s="381" t="e">
        <f>HLOOKUP(206,'Fund 22 Grants'!$D$2:$W$4,3,FALSE)</f>
        <v>#N/A</v>
      </c>
      <c r="D102" s="115"/>
      <c r="E102" s="41">
        <v>0</v>
      </c>
      <c r="F102" s="41">
        <v>0</v>
      </c>
      <c r="G102" s="41">
        <v>0</v>
      </c>
      <c r="H102" s="383">
        <f>IF(ISERROR(HLOOKUP(206,'Fund 22 Grants'!$D$2:$W$113,112,FALSE)),0,(HLOOKUP(206,'Fund 22 Grants'!$D$2:$W$113,112,FALSE)))</f>
        <v>0</v>
      </c>
      <c r="I102" s="41">
        <v>0</v>
      </c>
      <c r="J102" s="564">
        <f t="shared" si="10"/>
        <v>0</v>
      </c>
    </row>
    <row r="103" spans="1:10" x14ac:dyDescent="0.15">
      <c r="A103" s="379" t="e">
        <f>HLOOKUP(207,'Fund 22 Grants'!$D$2:$W$3,2,FALSE)</f>
        <v>#N/A</v>
      </c>
      <c r="B103" s="380"/>
      <c r="C103" s="381" t="e">
        <f>HLOOKUP(207,'Fund 22 Grants'!$D$2:$W$4,3,FALSE)</f>
        <v>#N/A</v>
      </c>
      <c r="D103" s="115"/>
      <c r="E103" s="41">
        <v>0</v>
      </c>
      <c r="F103" s="41">
        <v>0</v>
      </c>
      <c r="G103" s="41">
        <v>0</v>
      </c>
      <c r="H103" s="383">
        <f>IF(ISERROR(HLOOKUP(207,'Fund 22 Grants'!$D$2:$W$113,112,FALSE)),0,(HLOOKUP(207,'Fund 22 Grants'!$D$2:$W$113,112,FALSE)))</f>
        <v>0</v>
      </c>
      <c r="I103" s="41">
        <v>0</v>
      </c>
      <c r="J103" s="564">
        <f t="shared" si="10"/>
        <v>0</v>
      </c>
    </row>
    <row r="104" spans="1:10" x14ac:dyDescent="0.15">
      <c r="A104" s="379" t="e">
        <f>HLOOKUP(208,'Fund 22 Grants'!$D$2:$W$3,2,FALSE)</f>
        <v>#N/A</v>
      </c>
      <c r="B104" s="380"/>
      <c r="C104" s="381" t="e">
        <f>HLOOKUP(208,'Fund 22 Grants'!$D$2:$W$4,3,FALSE)</f>
        <v>#N/A</v>
      </c>
      <c r="D104" s="115"/>
      <c r="E104" s="41">
        <v>0</v>
      </c>
      <c r="F104" s="41">
        <v>0</v>
      </c>
      <c r="G104" s="41">
        <v>0</v>
      </c>
      <c r="H104" s="383">
        <f>IF(ISERROR(HLOOKUP(208,'Fund 22 Grants'!$D$2:$W$113,112,FALSE)),0,(HLOOKUP(208,'Fund 22 Grants'!$D$2:$W$113,112,FALSE)))</f>
        <v>0</v>
      </c>
      <c r="I104" s="41">
        <v>0</v>
      </c>
      <c r="J104" s="564">
        <f t="shared" si="10"/>
        <v>0</v>
      </c>
    </row>
    <row r="105" spans="1:10" x14ac:dyDescent="0.15">
      <c r="A105" s="379" t="e">
        <f>HLOOKUP(209,'Fund 22 Grants'!$D$2:$W$3,2,FALSE)</f>
        <v>#N/A</v>
      </c>
      <c r="B105" s="380"/>
      <c r="C105" s="381" t="e">
        <f>HLOOKUP(209,'Fund 22 Grants'!$D$2:$W$4,3,FALSE)</f>
        <v>#N/A</v>
      </c>
      <c r="D105" s="194"/>
      <c r="E105" s="41">
        <v>0</v>
      </c>
      <c r="F105" s="41">
        <v>0</v>
      </c>
      <c r="G105" s="41">
        <v>0</v>
      </c>
      <c r="H105" s="383">
        <f>IF(ISERROR(HLOOKUP(209,'Fund 22 Grants'!$D$2:$W$113,112,FALSE)),0,(HLOOKUP(209,'Fund 22 Grants'!$D$2:$W$113,112,FALSE)))</f>
        <v>0</v>
      </c>
      <c r="I105" s="41">
        <v>0</v>
      </c>
      <c r="J105" s="564">
        <f t="shared" si="10"/>
        <v>0</v>
      </c>
    </row>
    <row r="106" spans="1:10" x14ac:dyDescent="0.15">
      <c r="A106" s="379" t="e">
        <f>HLOOKUP(210,'Fund 22 Grants'!$D$2:$W$3,2,FALSE)</f>
        <v>#N/A</v>
      </c>
      <c r="B106" s="380"/>
      <c r="C106" s="381" t="e">
        <f>HLOOKUP(210,'Fund 22 Grants'!$D$2:$W$4,3,FALSE)</f>
        <v>#N/A</v>
      </c>
      <c r="D106" s="115"/>
      <c r="E106" s="41">
        <v>0</v>
      </c>
      <c r="F106" s="41">
        <v>0</v>
      </c>
      <c r="G106" s="41">
        <v>0</v>
      </c>
      <c r="H106" s="383">
        <f>IF(ISERROR(HLOOKUP(210,'Fund 22 Grants'!$D$2:$W$113,112,FALSE)),0,(HLOOKUP(210,'Fund 22 Grants'!$D$2:$W$113,112,FALSE)))</f>
        <v>0</v>
      </c>
      <c r="I106" s="41">
        <v>0</v>
      </c>
      <c r="J106" s="564">
        <f t="shared" si="10"/>
        <v>0</v>
      </c>
    </row>
    <row r="107" spans="1:10" x14ac:dyDescent="0.15">
      <c r="A107" s="379" t="e">
        <f>HLOOKUP(211,'Fund 22 Grants'!$D$2:$W$3,2,FALSE)</f>
        <v>#N/A</v>
      </c>
      <c r="B107" s="380"/>
      <c r="C107" s="381" t="e">
        <f>HLOOKUP(211,'Fund 22 Grants'!$D$2:$W$4,3,FALSE)</f>
        <v>#N/A</v>
      </c>
      <c r="D107" s="194"/>
      <c r="E107" s="41">
        <v>0</v>
      </c>
      <c r="F107" s="41">
        <v>0</v>
      </c>
      <c r="G107" s="41">
        <v>0</v>
      </c>
      <c r="H107" s="383">
        <f>IF(ISERROR(HLOOKUP(211,'Fund 22 Grants'!$D$2:$W$113,112,FALSE)),0,(HLOOKUP(211,'Fund 22 Grants'!$D$2:$W$113,112,FALSE)))</f>
        <v>0</v>
      </c>
      <c r="I107" s="41">
        <v>0</v>
      </c>
      <c r="J107" s="564">
        <f t="shared" si="10"/>
        <v>0</v>
      </c>
    </row>
    <row r="108" spans="1:10" x14ac:dyDescent="0.15">
      <c r="A108" s="379" t="e">
        <f>HLOOKUP(212,'Fund 22 Grants'!$D$2:$W$3,2,FALSE)</f>
        <v>#N/A</v>
      </c>
      <c r="B108" s="380"/>
      <c r="C108" s="381" t="e">
        <f>HLOOKUP(212,'Fund 22 Grants'!$D$2:$W$4,3,FALSE)</f>
        <v>#N/A</v>
      </c>
      <c r="E108" s="41">
        <v>0</v>
      </c>
      <c r="F108" s="41">
        <v>0</v>
      </c>
      <c r="G108" s="41">
        <v>0</v>
      </c>
      <c r="H108" s="383">
        <f>IF(ISERROR(HLOOKUP(212,'Fund 22 Grants'!$D$2:$W$113,112,FALSE)),0,(HLOOKUP(212,'Fund 22 Grants'!$D$2:$W$113,112,FALSE)))</f>
        <v>0</v>
      </c>
      <c r="I108" s="41">
        <v>0</v>
      </c>
      <c r="J108" s="564">
        <f t="shared" si="10"/>
        <v>0</v>
      </c>
    </row>
    <row r="109" spans="1:10" ht="11.25" thickBot="1" x14ac:dyDescent="0.2">
      <c r="A109" s="152"/>
      <c r="B109" s="167"/>
      <c r="D109" s="115"/>
      <c r="E109" s="14"/>
      <c r="F109" s="14"/>
      <c r="G109" s="14"/>
      <c r="H109" s="14"/>
      <c r="J109" s="167"/>
    </row>
    <row r="110" spans="1:10" ht="12" thickTop="1" thickBot="1" x14ac:dyDescent="0.2">
      <c r="C110" s="115" t="s">
        <v>1498</v>
      </c>
      <c r="E110" s="169">
        <f t="shared" ref="E110:J110" si="11">SUM(E97:E108)</f>
        <v>0</v>
      </c>
      <c r="F110" s="169">
        <f t="shared" si="11"/>
        <v>0</v>
      </c>
      <c r="G110" s="169">
        <f t="shared" si="11"/>
        <v>0</v>
      </c>
      <c r="H110" s="169">
        <f t="shared" si="11"/>
        <v>0</v>
      </c>
      <c r="I110" s="169">
        <f t="shared" si="11"/>
        <v>0</v>
      </c>
      <c r="J110" s="169">
        <f t="shared" si="11"/>
        <v>0</v>
      </c>
    </row>
    <row r="111" spans="1:10" ht="11.25" thickTop="1" x14ac:dyDescent="0.15">
      <c r="F111" s="159"/>
      <c r="G111" s="159"/>
      <c r="J111" s="167"/>
    </row>
    <row r="112" spans="1:10" x14ac:dyDescent="0.15">
      <c r="B112" s="40" t="s">
        <v>1185</v>
      </c>
      <c r="D112" s="35"/>
      <c r="F112" s="159"/>
      <c r="G112" s="159"/>
      <c r="J112" s="167"/>
    </row>
    <row r="113" spans="1:10" x14ac:dyDescent="0.15">
      <c r="A113" s="35" t="s">
        <v>203</v>
      </c>
      <c r="B113" s="159"/>
      <c r="C113" s="35" t="s">
        <v>1188</v>
      </c>
      <c r="D113" s="35"/>
      <c r="F113" s="159"/>
      <c r="G113" s="159"/>
      <c r="J113" s="167"/>
    </row>
    <row r="114" spans="1:10" x14ac:dyDescent="0.15">
      <c r="A114" s="35"/>
      <c r="B114" s="159"/>
      <c r="C114" s="40" t="s">
        <v>554</v>
      </c>
      <c r="D114" s="178"/>
      <c r="F114" s="159"/>
      <c r="G114" s="159"/>
      <c r="J114" s="167"/>
    </row>
    <row r="115" spans="1:10" x14ac:dyDescent="0.15">
      <c r="A115" s="379" t="e">
        <f>HLOOKUP(301,'Fund 22 Grants'!$D$2:$W$3,2,FALSE)</f>
        <v>#N/A</v>
      </c>
      <c r="B115" s="380"/>
      <c r="C115" s="381" t="e">
        <f>HLOOKUP(301,'Fund 22 Grants'!$D$2:$W$4,3,FALSE)</f>
        <v>#N/A</v>
      </c>
      <c r="D115" s="178"/>
      <c r="E115" s="41">
        <v>0</v>
      </c>
      <c r="F115" s="41">
        <v>0</v>
      </c>
      <c r="G115" s="41">
        <v>0</v>
      </c>
      <c r="H115" s="383">
        <f>IF(ISERROR(HLOOKUP(301,'Fund 22 Grants'!$D$2:$W$113,112,FALSE)),0,(HLOOKUP(301,'Fund 22 Grants'!$D$2:$W$113,112,FALSE)))</f>
        <v>0</v>
      </c>
      <c r="I115" s="41">
        <v>0</v>
      </c>
      <c r="J115" s="564">
        <f t="shared" ref="J115:J134" si="12">H115+I115</f>
        <v>0</v>
      </c>
    </row>
    <row r="116" spans="1:10" x14ac:dyDescent="0.15">
      <c r="A116" s="379" t="e">
        <f>HLOOKUP(302,'Fund 22 Grants'!$D$2:$W$3,2,FALSE)</f>
        <v>#N/A</v>
      </c>
      <c r="B116" s="380"/>
      <c r="C116" s="381" t="e">
        <f>HLOOKUP(302,'Fund 22 Grants'!$D$2:$W$4,3,FALSE)</f>
        <v>#N/A</v>
      </c>
      <c r="D116" s="178"/>
      <c r="E116" s="41">
        <v>0</v>
      </c>
      <c r="F116" s="41">
        <v>0</v>
      </c>
      <c r="G116" s="41">
        <v>0</v>
      </c>
      <c r="H116" s="383">
        <f>IF(ISERROR(HLOOKUP(302,'Fund 22 Grants'!$D$2:$W$113,112,FALSE)),0,(HLOOKUP(302,'Fund 22 Grants'!$D$2:$W$113,112,FALSE)))</f>
        <v>0</v>
      </c>
      <c r="I116" s="41">
        <v>0</v>
      </c>
      <c r="J116" s="564">
        <f t="shared" si="12"/>
        <v>0</v>
      </c>
    </row>
    <row r="117" spans="1:10" x14ac:dyDescent="0.15">
      <c r="A117" s="379" t="e">
        <f>HLOOKUP(303,'Fund 22 Grants'!$D$2:$W$3,2,FALSE)</f>
        <v>#N/A</v>
      </c>
      <c r="B117" s="380"/>
      <c r="C117" s="381" t="e">
        <f>HLOOKUP(303,'Fund 22 Grants'!$D$2:$W$4,3,FALSE)</f>
        <v>#N/A</v>
      </c>
      <c r="D117" s="178"/>
      <c r="E117" s="41">
        <v>0</v>
      </c>
      <c r="F117" s="41">
        <v>0</v>
      </c>
      <c r="G117" s="41">
        <v>0</v>
      </c>
      <c r="H117" s="383">
        <f>IF(ISERROR(HLOOKUP(303,'Fund 22 Grants'!$D$2:$W$113,112,FALSE)),0,(HLOOKUP(303,'Fund 22 Grants'!$D$2:$W$113,112,FALSE)))</f>
        <v>0</v>
      </c>
      <c r="I117" s="41">
        <v>0</v>
      </c>
      <c r="J117" s="564">
        <f t="shared" si="12"/>
        <v>0</v>
      </c>
    </row>
    <row r="118" spans="1:10" x14ac:dyDescent="0.15">
      <c r="A118" s="379" t="e">
        <f>HLOOKUP(304,'Fund 22 Grants'!$D$2:$W$3,2,FALSE)</f>
        <v>#N/A</v>
      </c>
      <c r="B118" s="380"/>
      <c r="C118" s="381" t="e">
        <f>HLOOKUP(304,'Fund 22 Grants'!$D$2:$W$4,3,FALSE)</f>
        <v>#N/A</v>
      </c>
      <c r="D118" s="178"/>
      <c r="E118" s="41">
        <v>0</v>
      </c>
      <c r="F118" s="41">
        <v>0</v>
      </c>
      <c r="G118" s="41">
        <v>0</v>
      </c>
      <c r="H118" s="383">
        <f>IF(ISERROR(HLOOKUP(304,'Fund 22 Grants'!$D$2:$W$113,112,FALSE)),0,(HLOOKUP(304,'Fund 22 Grants'!$D$2:$W$113,112,FALSE)))</f>
        <v>0</v>
      </c>
      <c r="I118" s="41">
        <v>0</v>
      </c>
      <c r="J118" s="564">
        <f t="shared" si="12"/>
        <v>0</v>
      </c>
    </row>
    <row r="119" spans="1:10" x14ac:dyDescent="0.15">
      <c r="A119" s="379" t="e">
        <f>HLOOKUP(305,'Fund 22 Grants'!$D$2:$W$3,2,FALSE)</f>
        <v>#N/A</v>
      </c>
      <c r="B119" s="380"/>
      <c r="C119" s="381" t="e">
        <f>HLOOKUP(305,'Fund 22 Grants'!$D$2:$W$4,3,FALSE)</f>
        <v>#N/A</v>
      </c>
      <c r="D119" s="178"/>
      <c r="E119" s="41">
        <v>0</v>
      </c>
      <c r="F119" s="41">
        <v>0</v>
      </c>
      <c r="G119" s="41">
        <v>0</v>
      </c>
      <c r="H119" s="383">
        <f>IF(ISERROR(HLOOKUP(305,'Fund 22 Grants'!$D$2:$W$113,112,FALSE)),0,(HLOOKUP(305,'Fund 22 Grants'!$D$2:$W$113,112,FALSE)))</f>
        <v>0</v>
      </c>
      <c r="I119" s="41">
        <v>0</v>
      </c>
      <c r="J119" s="564">
        <f t="shared" si="12"/>
        <v>0</v>
      </c>
    </row>
    <row r="120" spans="1:10" x14ac:dyDescent="0.15">
      <c r="A120" s="379" t="e">
        <f>HLOOKUP(306,'Fund 22 Grants'!$D$2:$W$3,2,FALSE)</f>
        <v>#N/A</v>
      </c>
      <c r="B120" s="380"/>
      <c r="C120" s="381" t="e">
        <f>HLOOKUP(306,'Fund 22 Grants'!$D$2:$W$4,3,FALSE)</f>
        <v>#N/A</v>
      </c>
      <c r="D120" s="178"/>
      <c r="E120" s="41">
        <v>0</v>
      </c>
      <c r="F120" s="41">
        <v>0</v>
      </c>
      <c r="G120" s="41">
        <v>0</v>
      </c>
      <c r="H120" s="383">
        <f>IF(ISERROR(HLOOKUP(306,'Fund 22 Grants'!$D$2:$W$113,112,FALSE)),0,(HLOOKUP(306,'Fund 22 Grants'!$D$2:$W$113,112,FALSE)))</f>
        <v>0</v>
      </c>
      <c r="I120" s="41">
        <v>0</v>
      </c>
      <c r="J120" s="564">
        <f t="shared" si="12"/>
        <v>0</v>
      </c>
    </row>
    <row r="121" spans="1:10" x14ac:dyDescent="0.15">
      <c r="A121" s="379" t="e">
        <f>HLOOKUP(307,'Fund 22 Grants'!$D$2:$W$3,2,FALSE)</f>
        <v>#N/A</v>
      </c>
      <c r="B121" s="380"/>
      <c r="C121" s="381" t="e">
        <f>HLOOKUP(307,'Fund 22 Grants'!$D$2:$W$4,3,FALSE)</f>
        <v>#N/A</v>
      </c>
      <c r="D121" s="178"/>
      <c r="E121" s="41">
        <v>0</v>
      </c>
      <c r="F121" s="41">
        <v>0</v>
      </c>
      <c r="G121" s="41">
        <v>0</v>
      </c>
      <c r="H121" s="383">
        <f>IF(ISERROR(HLOOKUP(307,'Fund 22 Grants'!$D$2:$W$113,112,FALSE)),0,(HLOOKUP(307,'Fund 22 Grants'!$D$2:$W$113,112,FALSE)))</f>
        <v>0</v>
      </c>
      <c r="I121" s="41">
        <v>0</v>
      </c>
      <c r="J121" s="564">
        <f t="shared" si="12"/>
        <v>0</v>
      </c>
    </row>
    <row r="122" spans="1:10" x14ac:dyDescent="0.15">
      <c r="A122" s="379" t="e">
        <f>HLOOKUP(308,'Fund 22 Grants'!$D$2:$W$3,2,FALSE)</f>
        <v>#N/A</v>
      </c>
      <c r="B122" s="380"/>
      <c r="C122" s="381" t="e">
        <f>HLOOKUP(308,'Fund 22 Grants'!$D$2:$W$4,3,FALSE)</f>
        <v>#N/A</v>
      </c>
      <c r="D122" s="178"/>
      <c r="E122" s="41">
        <v>0</v>
      </c>
      <c r="F122" s="41">
        <v>0</v>
      </c>
      <c r="G122" s="41">
        <v>0</v>
      </c>
      <c r="H122" s="383">
        <f>IF(ISERROR(HLOOKUP(308,'Fund 22 Grants'!$D$2:$W$113,112,FALSE)),0,(HLOOKUP(308,'Fund 22 Grants'!$D$2:$W$113,112,FALSE)))</f>
        <v>0</v>
      </c>
      <c r="I122" s="41">
        <v>0</v>
      </c>
      <c r="J122" s="564">
        <f t="shared" si="12"/>
        <v>0</v>
      </c>
    </row>
    <row r="123" spans="1:10" x14ac:dyDescent="0.15">
      <c r="A123" s="379" t="e">
        <f>HLOOKUP(309,'Fund 22 Grants'!$D$2:$W$3,2,FALSE)</f>
        <v>#N/A</v>
      </c>
      <c r="B123" s="380"/>
      <c r="C123" s="381" t="e">
        <f>HLOOKUP(309,'Fund 22 Grants'!$D$2:$W$4,3,FALSE)</f>
        <v>#N/A</v>
      </c>
      <c r="D123" s="178"/>
      <c r="E123" s="41">
        <v>0</v>
      </c>
      <c r="F123" s="41">
        <v>0</v>
      </c>
      <c r="G123" s="41">
        <v>0</v>
      </c>
      <c r="H123" s="383">
        <f>IF(ISERROR(HLOOKUP(309,'Fund 22 Grants'!$D$2:$W$113,112,FALSE)),0,(HLOOKUP(309,'Fund 22 Grants'!$D$2:$W$113,112,FALSE)))</f>
        <v>0</v>
      </c>
      <c r="I123" s="41">
        <v>0</v>
      </c>
      <c r="J123" s="564">
        <f t="shared" si="12"/>
        <v>0</v>
      </c>
    </row>
    <row r="124" spans="1:10" x14ac:dyDescent="0.15">
      <c r="A124" s="379" t="e">
        <f>HLOOKUP(310,'Fund 22 Grants'!$D$2:$W$3,2,FALSE)</f>
        <v>#N/A</v>
      </c>
      <c r="B124" s="380"/>
      <c r="C124" s="381" t="e">
        <f>HLOOKUP(310,'Fund 22 Grants'!$D$2:$W$4,3,FALSE)</f>
        <v>#N/A</v>
      </c>
      <c r="D124" s="178"/>
      <c r="E124" s="41">
        <v>0</v>
      </c>
      <c r="F124" s="41">
        <v>0</v>
      </c>
      <c r="G124" s="41">
        <v>0</v>
      </c>
      <c r="H124" s="383">
        <f>IF(ISERROR(HLOOKUP(310,'Fund 22 Grants'!$D$2:$W$113,112,FALSE)),0,(HLOOKUP(310,'Fund 22 Grants'!$D$2:$W$113,112,FALSE)))</f>
        <v>0</v>
      </c>
      <c r="I124" s="41">
        <v>0</v>
      </c>
      <c r="J124" s="564">
        <f t="shared" si="12"/>
        <v>0</v>
      </c>
    </row>
    <row r="125" spans="1:10" x14ac:dyDescent="0.15">
      <c r="A125" s="379" t="e">
        <f>HLOOKUP(311,'Fund 22 Grants'!$D$2:$W$3,2,FALSE)</f>
        <v>#N/A</v>
      </c>
      <c r="B125" s="380"/>
      <c r="C125" s="381" t="e">
        <f>HLOOKUP(311,'Fund 22 Grants'!$D$2:$W$4,3,FALSE)</f>
        <v>#N/A</v>
      </c>
      <c r="D125" s="178"/>
      <c r="E125" s="41">
        <v>0</v>
      </c>
      <c r="F125" s="41">
        <v>0</v>
      </c>
      <c r="G125" s="41">
        <v>0</v>
      </c>
      <c r="H125" s="383">
        <f>IF(ISERROR(HLOOKUP(311,'Fund 22 Grants'!$D$2:$W$113,112,FALSE)),0,(HLOOKUP(311,'Fund 22 Grants'!$D$2:$W$113,112,FALSE)))</f>
        <v>0</v>
      </c>
      <c r="I125" s="41">
        <v>0</v>
      </c>
      <c r="J125" s="564">
        <f t="shared" si="12"/>
        <v>0</v>
      </c>
    </row>
    <row r="126" spans="1:10" x14ac:dyDescent="0.15">
      <c r="A126" s="379" t="e">
        <f>HLOOKUP(312,'Fund 22 Grants'!$D$2:$W$3,2,FALSE)</f>
        <v>#N/A</v>
      </c>
      <c r="B126" s="380"/>
      <c r="C126" s="381" t="e">
        <f>HLOOKUP(312,'Fund 22 Grants'!$D$2:$W$4,3,FALSE)</f>
        <v>#N/A</v>
      </c>
      <c r="D126" s="178"/>
      <c r="E126" s="41">
        <v>0</v>
      </c>
      <c r="F126" s="41">
        <v>0</v>
      </c>
      <c r="G126" s="41">
        <v>0</v>
      </c>
      <c r="H126" s="383">
        <f>IF(ISERROR(HLOOKUP(312,'Fund 22 Grants'!$D$2:$W$113,112,FALSE)),0,(HLOOKUP(312,'Fund 22 Grants'!$D$2:$W$113,112,FALSE)))</f>
        <v>0</v>
      </c>
      <c r="I126" s="41">
        <v>0</v>
      </c>
      <c r="J126" s="564">
        <f t="shared" si="12"/>
        <v>0</v>
      </c>
    </row>
    <row r="127" spans="1:10" x14ac:dyDescent="0.15">
      <c r="A127" s="379" t="e">
        <f>HLOOKUP(313,'Fund 22 Grants'!$D$2:$W$3,2,FALSE)</f>
        <v>#N/A</v>
      </c>
      <c r="B127" s="380"/>
      <c r="C127" s="381" t="e">
        <f>HLOOKUP(313,'Fund 22 Grants'!$D$2:$W$4,3,FALSE)</f>
        <v>#N/A</v>
      </c>
      <c r="D127" s="178"/>
      <c r="E127" s="41">
        <v>0</v>
      </c>
      <c r="F127" s="41">
        <v>0</v>
      </c>
      <c r="G127" s="41">
        <v>0</v>
      </c>
      <c r="H127" s="383">
        <f>IF(ISERROR(HLOOKUP(313,'Fund 22 Grants'!$D$2:$W$113,112,FALSE)),0,(HLOOKUP(313,'Fund 22 Grants'!$D$2:$W$113,112,FALSE)))</f>
        <v>0</v>
      </c>
      <c r="I127" s="41">
        <v>0</v>
      </c>
      <c r="J127" s="564">
        <f t="shared" si="12"/>
        <v>0</v>
      </c>
    </row>
    <row r="128" spans="1:10" x14ac:dyDescent="0.15">
      <c r="A128" s="379" t="e">
        <f>HLOOKUP(314,'Fund 22 Grants'!$D$2:$W$3,2,FALSE)</f>
        <v>#N/A</v>
      </c>
      <c r="B128" s="380"/>
      <c r="C128" s="381" t="e">
        <f>HLOOKUP(314,'Fund 22 Grants'!$D$2:$W$4,3,FALSE)</f>
        <v>#N/A</v>
      </c>
      <c r="D128" s="178"/>
      <c r="E128" s="41">
        <v>0</v>
      </c>
      <c r="F128" s="41">
        <v>0</v>
      </c>
      <c r="G128" s="41">
        <v>0</v>
      </c>
      <c r="H128" s="383">
        <f>IF(ISERROR(HLOOKUP(314,'Fund 22 Grants'!$D$2:$W$113,112,FALSE)),0,(HLOOKUP(314,'Fund 22 Grants'!$D$2:$W$113,112,FALSE)))</f>
        <v>0</v>
      </c>
      <c r="I128" s="41">
        <v>0</v>
      </c>
      <c r="J128" s="564">
        <f t="shared" si="12"/>
        <v>0</v>
      </c>
    </row>
    <row r="129" spans="1:10" x14ac:dyDescent="0.15">
      <c r="A129" s="379" t="e">
        <f>HLOOKUP(315,'Fund 22 Grants'!$D$2:$W$3,2,FALSE)</f>
        <v>#N/A</v>
      </c>
      <c r="B129" s="380"/>
      <c r="C129" s="381" t="e">
        <f>HLOOKUP(315,'Fund 22 Grants'!$D$2:$W$4,3,FALSE)</f>
        <v>#N/A</v>
      </c>
      <c r="D129" s="178"/>
      <c r="E129" s="41">
        <v>0</v>
      </c>
      <c r="F129" s="41">
        <v>0</v>
      </c>
      <c r="G129" s="41">
        <v>0</v>
      </c>
      <c r="H129" s="383">
        <f>IF(ISERROR(HLOOKUP(315,'Fund 22 Grants'!$D$2:$W$113,112,FALSE)),0,(HLOOKUP(315,'Fund 22 Grants'!$D$2:$W$113,112,FALSE)))</f>
        <v>0</v>
      </c>
      <c r="I129" s="41">
        <v>0</v>
      </c>
      <c r="J129" s="564">
        <f t="shared" si="12"/>
        <v>0</v>
      </c>
    </row>
    <row r="130" spans="1:10" x14ac:dyDescent="0.15">
      <c r="A130" s="379" t="e">
        <f>HLOOKUP(316,'Fund 22 Grants'!$D$2:$W$3,2,FALSE)</f>
        <v>#N/A</v>
      </c>
      <c r="B130" s="380"/>
      <c r="C130" s="381" t="e">
        <f>HLOOKUP(316,'Fund 22 Grants'!$D$2:$W$4,3,FALSE)</f>
        <v>#N/A</v>
      </c>
      <c r="D130" s="178"/>
      <c r="E130" s="41">
        <v>0</v>
      </c>
      <c r="F130" s="41">
        <v>0</v>
      </c>
      <c r="G130" s="41">
        <v>0</v>
      </c>
      <c r="H130" s="383">
        <f>IF(ISERROR(HLOOKUP(316,'Fund 22 Grants'!$D$2:$W$113,112,FALSE)),0,(HLOOKUP(316,'Fund 22 Grants'!$D$2:$W$113,112,FALSE)))</f>
        <v>0</v>
      </c>
      <c r="I130" s="41">
        <v>0</v>
      </c>
      <c r="J130" s="564">
        <f t="shared" si="12"/>
        <v>0</v>
      </c>
    </row>
    <row r="131" spans="1:10" x14ac:dyDescent="0.15">
      <c r="A131" s="379" t="e">
        <f>HLOOKUP(317,'Fund 22 Grants'!$D$2:$W$3,2,FALSE)</f>
        <v>#N/A</v>
      </c>
      <c r="B131" s="380"/>
      <c r="C131" s="381" t="e">
        <f>HLOOKUP(317,'Fund 22 Grants'!$D$2:$W$4,3,FALSE)</f>
        <v>#N/A</v>
      </c>
      <c r="D131" s="178"/>
      <c r="E131" s="41">
        <v>0</v>
      </c>
      <c r="F131" s="41">
        <v>0</v>
      </c>
      <c r="G131" s="41">
        <v>0</v>
      </c>
      <c r="H131" s="383">
        <f>IF(ISERROR(HLOOKUP(317,'Fund 22 Grants'!$D$2:$W$113,112,FALSE)),0,(HLOOKUP(317,'Fund 22 Grants'!$D$2:$W$113,112,FALSE)))</f>
        <v>0</v>
      </c>
      <c r="I131" s="41">
        <v>0</v>
      </c>
      <c r="J131" s="564">
        <f t="shared" si="12"/>
        <v>0</v>
      </c>
    </row>
    <row r="132" spans="1:10" x14ac:dyDescent="0.15">
      <c r="A132" s="379" t="e">
        <f>HLOOKUP(318,'Fund 22 Grants'!$D$2:$W$3,2,FALSE)</f>
        <v>#N/A</v>
      </c>
      <c r="B132" s="380"/>
      <c r="C132" s="381" t="e">
        <f>HLOOKUP(318,'Fund 22 Grants'!$D$2:$W$4,3,FALSE)</f>
        <v>#N/A</v>
      </c>
      <c r="D132" s="178"/>
      <c r="E132" s="41">
        <v>0</v>
      </c>
      <c r="F132" s="41">
        <v>0</v>
      </c>
      <c r="G132" s="41">
        <v>0</v>
      </c>
      <c r="H132" s="383">
        <f>IF(ISERROR(HLOOKUP(318,'Fund 22 Grants'!$D$2:$W$113,112,FALSE)),0,(HLOOKUP(318,'Fund 22 Grants'!$D$2:$W$113,112,FALSE)))</f>
        <v>0</v>
      </c>
      <c r="I132" s="41">
        <v>0</v>
      </c>
      <c r="J132" s="564">
        <f t="shared" si="12"/>
        <v>0</v>
      </c>
    </row>
    <row r="133" spans="1:10" x14ac:dyDescent="0.15">
      <c r="A133" s="379" t="e">
        <f>HLOOKUP(319,'Fund 22 Grants'!$D$2:$W$3,2,FALSE)</f>
        <v>#N/A</v>
      </c>
      <c r="B133" s="380"/>
      <c r="C133" s="381" t="e">
        <f>HLOOKUP(319,'Fund 22 Grants'!$D$2:$W$4,3,FALSE)</f>
        <v>#N/A</v>
      </c>
      <c r="D133" s="194"/>
      <c r="E133" s="41">
        <v>0</v>
      </c>
      <c r="F133" s="41">
        <v>0</v>
      </c>
      <c r="G133" s="41">
        <v>0</v>
      </c>
      <c r="H133" s="383">
        <f>IF(ISERROR(HLOOKUP(319,'Fund 22 Grants'!$D$2:$W$113,112,FALSE)),0,(HLOOKUP(319,'Fund 22 Grants'!$D$2:$W$113,112,FALSE)))</f>
        <v>0</v>
      </c>
      <c r="I133" s="41">
        <v>0</v>
      </c>
      <c r="J133" s="564">
        <f t="shared" si="12"/>
        <v>0</v>
      </c>
    </row>
    <row r="134" spans="1:10" x14ac:dyDescent="0.15">
      <c r="A134" s="379" t="e">
        <f>HLOOKUP(320,'Fund 22 Grants'!$D$2:$W$3,2,FALSE)</f>
        <v>#N/A</v>
      </c>
      <c r="B134" s="380"/>
      <c r="C134" s="381" t="e">
        <f>HLOOKUP(320,'Fund 22 Grants'!$D$2:$W$4,3,FALSE)</f>
        <v>#N/A</v>
      </c>
      <c r="D134" s="115"/>
      <c r="E134" s="41">
        <v>0</v>
      </c>
      <c r="F134" s="41">
        <v>0</v>
      </c>
      <c r="G134" s="41">
        <v>0</v>
      </c>
      <c r="H134" s="383">
        <f>IF(ISERROR(HLOOKUP(320,'Fund 22 Grants'!$D$2:$W$113,112,FALSE)),0,(HLOOKUP(320,'Fund 22 Grants'!$D$2:$W$113,112,FALSE)))</f>
        <v>0</v>
      </c>
      <c r="I134" s="41">
        <v>0</v>
      </c>
      <c r="J134" s="564">
        <f t="shared" si="12"/>
        <v>0</v>
      </c>
    </row>
    <row r="135" spans="1:10" ht="11.25" thickBot="1" x14ac:dyDescent="0.2">
      <c r="A135" s="194"/>
      <c r="B135" s="167"/>
      <c r="C135" s="115"/>
      <c r="D135" s="115"/>
      <c r="E135" s="14"/>
      <c r="F135" s="14"/>
      <c r="G135" s="14"/>
      <c r="H135" s="14"/>
      <c r="J135" s="167"/>
    </row>
    <row r="136" spans="1:10" ht="12" thickTop="1" thickBot="1" x14ac:dyDescent="0.2">
      <c r="C136" s="115" t="s">
        <v>1497</v>
      </c>
      <c r="E136" s="169">
        <f t="shared" ref="E136:J136" si="13">SUM(E115:E135)</f>
        <v>0</v>
      </c>
      <c r="F136" s="169">
        <f t="shared" si="13"/>
        <v>0</v>
      </c>
      <c r="G136" s="169">
        <f t="shared" si="13"/>
        <v>0</v>
      </c>
      <c r="H136" s="169">
        <f t="shared" si="13"/>
        <v>0</v>
      </c>
      <c r="I136" s="169">
        <f t="shared" si="13"/>
        <v>0</v>
      </c>
      <c r="J136" s="169">
        <f t="shared" si="13"/>
        <v>0</v>
      </c>
    </row>
    <row r="137" spans="1:10" ht="11.25" thickTop="1" x14ac:dyDescent="0.15">
      <c r="F137" s="159"/>
      <c r="G137" s="159"/>
      <c r="J137" s="167"/>
    </row>
    <row r="138" spans="1:10" x14ac:dyDescent="0.15">
      <c r="B138" s="40" t="s">
        <v>1346</v>
      </c>
      <c r="D138" s="35"/>
      <c r="F138" s="159"/>
      <c r="G138" s="159"/>
      <c r="J138" s="167"/>
    </row>
    <row r="139" spans="1:10" x14ac:dyDescent="0.15">
      <c r="A139" s="35" t="s">
        <v>203</v>
      </c>
      <c r="B139" s="159"/>
      <c r="C139" s="35" t="s">
        <v>1330</v>
      </c>
      <c r="D139" s="202"/>
      <c r="F139" s="159"/>
      <c r="G139" s="159"/>
      <c r="J139" s="167"/>
    </row>
    <row r="140" spans="1:10" x14ac:dyDescent="0.15">
      <c r="A140" s="379">
        <f>HLOOKUP(101,'Fund 22 Grants'!$D$2:$W$3,2,FALSE)</f>
        <v>0</v>
      </c>
      <c r="B140" s="380"/>
      <c r="C140" s="381">
        <f>HLOOKUP(101,'Fund 22 Grants'!$D$2:$W$4,3,FALSE)</f>
        <v>0</v>
      </c>
      <c r="D140" s="202"/>
      <c r="E140" s="41">
        <v>0</v>
      </c>
      <c r="F140" s="41">
        <v>0</v>
      </c>
      <c r="G140" s="41">
        <v>0</v>
      </c>
      <c r="H140" s="383">
        <f>IF(ISERROR(HLOOKUP(101,'Fund 22 Grants'!$D$2:$W$113,112,FALSE)),0,(HLOOKUP(101,'Fund 22 Grants'!$D$2:$W$113,112,FALSE)))</f>
        <v>0</v>
      </c>
      <c r="I140" s="41">
        <v>0</v>
      </c>
      <c r="J140" s="564">
        <f t="shared" ref="J140:J149" si="14">H140+I140</f>
        <v>0</v>
      </c>
    </row>
    <row r="141" spans="1:10" x14ac:dyDescent="0.15">
      <c r="A141" s="379">
        <f>HLOOKUP(102,'Fund 22 Grants'!$D$2:$W$3,2,FALSE)</f>
        <v>0</v>
      </c>
      <c r="B141" s="380"/>
      <c r="C141" s="381">
        <f>HLOOKUP(102,'Fund 22 Grants'!$D$2:$W$4,3,FALSE)</f>
        <v>0</v>
      </c>
      <c r="D141" s="202"/>
      <c r="E141" s="41">
        <v>0</v>
      </c>
      <c r="F141" s="41">
        <v>0</v>
      </c>
      <c r="G141" s="41">
        <v>0</v>
      </c>
      <c r="H141" s="383">
        <f>IF(ISERROR(HLOOKUP(102,'Fund 22 Grants'!$D$2:$W$113,112,FALSE)),0,(HLOOKUP(102,'Fund 22 Grants'!$D$2:$W$113,112,FALSE)))</f>
        <v>0</v>
      </c>
      <c r="I141" s="41">
        <v>0</v>
      </c>
      <c r="J141" s="564">
        <f t="shared" si="14"/>
        <v>0</v>
      </c>
    </row>
    <row r="142" spans="1:10" x14ac:dyDescent="0.15">
      <c r="A142" s="379">
        <f>HLOOKUP(103,'Fund 22 Grants'!$D$2:$W$3,2,FALSE)</f>
        <v>0</v>
      </c>
      <c r="B142" s="380"/>
      <c r="C142" s="381">
        <f>HLOOKUP(103,'Fund 22 Grants'!$D$2:$W$4,3,FALSE)</f>
        <v>0</v>
      </c>
      <c r="D142" s="202"/>
      <c r="E142" s="41">
        <v>0</v>
      </c>
      <c r="F142" s="41">
        <v>0</v>
      </c>
      <c r="G142" s="41">
        <v>0</v>
      </c>
      <c r="H142" s="383">
        <f>IF(ISERROR(HLOOKUP(103,'Fund 22 Grants'!$D$2:$W$113,112,FALSE)),0,(HLOOKUP(103,'Fund 22 Grants'!$D$2:$W$113,112,FALSE)))</f>
        <v>0</v>
      </c>
      <c r="I142" s="41">
        <v>0</v>
      </c>
      <c r="J142" s="564">
        <f t="shared" si="14"/>
        <v>0</v>
      </c>
    </row>
    <row r="143" spans="1:10" x14ac:dyDescent="0.15">
      <c r="A143" s="379">
        <f>HLOOKUP(104,'Fund 22 Grants'!$D$2:$W$3,2,FALSE)</f>
        <v>0</v>
      </c>
      <c r="B143" s="380"/>
      <c r="C143" s="381">
        <f>HLOOKUP(104,'Fund 22 Grants'!$D$2:$W$4,3,FALSE)</f>
        <v>0</v>
      </c>
      <c r="D143" s="202"/>
      <c r="E143" s="41">
        <v>0</v>
      </c>
      <c r="F143" s="41">
        <v>0</v>
      </c>
      <c r="G143" s="41">
        <v>0</v>
      </c>
      <c r="H143" s="383">
        <f>IF(ISERROR(HLOOKUP(104,'Fund 22 Grants'!$D$2:$W$113,112,FALSE)),0,(HLOOKUP(104,'Fund 22 Grants'!$D$2:$W$113,112,FALSE)))</f>
        <v>0</v>
      </c>
      <c r="I143" s="41">
        <v>0</v>
      </c>
      <c r="J143" s="564">
        <f t="shared" si="14"/>
        <v>0</v>
      </c>
    </row>
    <row r="144" spans="1:10" x14ac:dyDescent="0.15">
      <c r="A144" s="379">
        <f>HLOOKUP(105,'Fund 22 Grants'!$D$2:$W$3,2,FALSE)</f>
        <v>0</v>
      </c>
      <c r="B144" s="380"/>
      <c r="C144" s="381">
        <f>HLOOKUP(105,'Fund 22 Grants'!$D$2:$W$4,3,FALSE)</f>
        <v>0</v>
      </c>
      <c r="D144" s="202"/>
      <c r="E144" s="41">
        <v>0</v>
      </c>
      <c r="F144" s="41">
        <v>0</v>
      </c>
      <c r="G144" s="41">
        <v>0</v>
      </c>
      <c r="H144" s="383">
        <f>IF(ISERROR(HLOOKUP(105,'Fund 22 Grants'!$D$2:$W$113,112,FALSE)),0,(HLOOKUP(105,'Fund 22 Grants'!$D$2:$W$113,112,FALSE)))</f>
        <v>0</v>
      </c>
      <c r="I144" s="41">
        <v>0</v>
      </c>
      <c r="J144" s="564">
        <f t="shared" si="14"/>
        <v>0</v>
      </c>
    </row>
    <row r="145" spans="1:10" x14ac:dyDescent="0.15">
      <c r="A145" s="379">
        <f>HLOOKUP(106,'Fund 22 Grants'!$D$2:$W$3,2,FALSE)</f>
        <v>0</v>
      </c>
      <c r="B145" s="380"/>
      <c r="C145" s="381">
        <f>HLOOKUP(106,'Fund 22 Grants'!$D$2:$W$4,3,FALSE)</f>
        <v>0</v>
      </c>
      <c r="D145" s="202"/>
      <c r="E145" s="41">
        <v>0</v>
      </c>
      <c r="F145" s="41">
        <v>0</v>
      </c>
      <c r="G145" s="41">
        <v>0</v>
      </c>
      <c r="H145" s="383">
        <f>IF(ISERROR(HLOOKUP(106,'Fund 22 Grants'!$D$2:$W$113,112,FALSE)),0,(HLOOKUP(106,'Fund 22 Grants'!$D$2:$W$113,112,FALSE)))</f>
        <v>0</v>
      </c>
      <c r="I145" s="41">
        <v>0</v>
      </c>
      <c r="J145" s="564">
        <f t="shared" si="14"/>
        <v>0</v>
      </c>
    </row>
    <row r="146" spans="1:10" x14ac:dyDescent="0.15">
      <c r="A146" s="379">
        <f>HLOOKUP(107,'Fund 22 Grants'!$D$2:$W$3,2,FALSE)</f>
        <v>0</v>
      </c>
      <c r="B146" s="380"/>
      <c r="C146" s="381">
        <f>HLOOKUP(107,'Fund 22 Grants'!$D$2:$W$4,3,FALSE)</f>
        <v>0</v>
      </c>
      <c r="D146" s="202"/>
      <c r="E146" s="41">
        <v>0</v>
      </c>
      <c r="F146" s="41">
        <v>0</v>
      </c>
      <c r="G146" s="41">
        <v>0</v>
      </c>
      <c r="H146" s="383">
        <f>IF(ISERROR(HLOOKUP(107,'Fund 22 Grants'!$D$2:$W$113,112,FALSE)),0,(HLOOKUP(107,'Fund 22 Grants'!$D$2:$W$113,112,FALSE)))</f>
        <v>0</v>
      </c>
      <c r="I146" s="41">
        <v>0</v>
      </c>
      <c r="J146" s="564">
        <f t="shared" si="14"/>
        <v>0</v>
      </c>
    </row>
    <row r="147" spans="1:10" x14ac:dyDescent="0.15">
      <c r="A147" s="379">
        <f>HLOOKUP(108,'Fund 22 Grants'!$D$2:$W$3,2,FALSE)</f>
        <v>0</v>
      </c>
      <c r="B147" s="380"/>
      <c r="C147" s="381">
        <f>HLOOKUP(108,'Fund 22 Grants'!$D$2:$W$4,3,FALSE)</f>
        <v>0</v>
      </c>
      <c r="D147" s="202"/>
      <c r="E147" s="41">
        <v>0</v>
      </c>
      <c r="F147" s="41">
        <v>0</v>
      </c>
      <c r="G147" s="41">
        <v>0</v>
      </c>
      <c r="H147" s="383">
        <f>IF(ISERROR(HLOOKUP(108,'Fund 22 Grants'!$D$2:$W$113,112,FALSE)),0,(HLOOKUP(108,'Fund 22 Grants'!$D$2:$W$113,112,FALSE)))</f>
        <v>0</v>
      </c>
      <c r="I147" s="41">
        <v>0</v>
      </c>
      <c r="J147" s="564">
        <f t="shared" si="14"/>
        <v>0</v>
      </c>
    </row>
    <row r="148" spans="1:10" x14ac:dyDescent="0.15">
      <c r="A148" s="379">
        <f>HLOOKUP(109,'Fund 22 Grants'!$D$2:$W$3,2,FALSE)</f>
        <v>0</v>
      </c>
      <c r="B148" s="380"/>
      <c r="C148" s="381">
        <f>HLOOKUP(109,'Fund 22 Grants'!$D$2:$W$4,3,FALSE)</f>
        <v>0</v>
      </c>
      <c r="D148" s="202"/>
      <c r="E148" s="41">
        <v>0</v>
      </c>
      <c r="F148" s="41">
        <v>0</v>
      </c>
      <c r="G148" s="41">
        <v>0</v>
      </c>
      <c r="H148" s="383">
        <f>IF(ISERROR(HLOOKUP(109,'Fund 22 Grants'!$D$2:$W$113,112,FALSE)),0,(HLOOKUP(109,'Fund 22 Grants'!$D$2:$W$113,112,FALSE)))</f>
        <v>0</v>
      </c>
      <c r="I148" s="41">
        <v>0</v>
      </c>
      <c r="J148" s="564">
        <f t="shared" si="14"/>
        <v>0</v>
      </c>
    </row>
    <row r="149" spans="1:10" x14ac:dyDescent="0.15">
      <c r="A149" s="379">
        <f>HLOOKUP(110,'Fund 22 Grants'!$D$2:$W$3,2,FALSE)</f>
        <v>0</v>
      </c>
      <c r="B149" s="380"/>
      <c r="C149" s="381">
        <f>HLOOKUP(110,'Fund 22 Grants'!$D$2:$W$4,3,FALSE)</f>
        <v>0</v>
      </c>
      <c r="D149" s="40"/>
      <c r="E149" s="41">
        <v>0</v>
      </c>
      <c r="F149" s="41">
        <v>0</v>
      </c>
      <c r="G149" s="41">
        <v>0</v>
      </c>
      <c r="H149" s="383">
        <f>IF(ISERROR(HLOOKUP(110,'Fund 22 Grants'!$D$2:$W$113,112,FALSE)),0,(HLOOKUP(110,'Fund 22 Grants'!$D$2:$W$113,112,FALSE)))</f>
        <v>0</v>
      </c>
      <c r="I149" s="41">
        <v>0</v>
      </c>
      <c r="J149" s="564">
        <f t="shared" si="14"/>
        <v>0</v>
      </c>
    </row>
    <row r="150" spans="1:10" ht="11.25" thickBot="1" x14ac:dyDescent="0.2">
      <c r="C150" s="40"/>
      <c r="D150" s="115"/>
      <c r="F150" s="159"/>
      <c r="G150" s="159"/>
      <c r="J150" s="167"/>
    </row>
    <row r="151" spans="1:10" ht="12" thickTop="1" thickBot="1" x14ac:dyDescent="0.2">
      <c r="A151" s="115" t="s">
        <v>1527</v>
      </c>
      <c r="C151" s="115" t="s">
        <v>1224</v>
      </c>
      <c r="E151" s="151">
        <f t="shared" ref="E151:J151" si="15">SUM(E140:E150)</f>
        <v>0</v>
      </c>
      <c r="F151" s="151">
        <f t="shared" si="15"/>
        <v>0</v>
      </c>
      <c r="G151" s="151">
        <f t="shared" si="15"/>
        <v>0</v>
      </c>
      <c r="H151" s="151">
        <f t="shared" si="15"/>
        <v>0</v>
      </c>
      <c r="I151" s="151">
        <f t="shared" si="15"/>
        <v>0</v>
      </c>
      <c r="J151" s="169">
        <f t="shared" si="15"/>
        <v>0</v>
      </c>
    </row>
    <row r="152" spans="1:10" ht="12" thickTop="1" thickBot="1" x14ac:dyDescent="0.2">
      <c r="D152" s="115"/>
      <c r="F152" s="159"/>
      <c r="G152" s="159"/>
      <c r="J152" s="167"/>
    </row>
    <row r="153" spans="1:10" ht="12" thickTop="1" thickBot="1" x14ac:dyDescent="0.2">
      <c r="C153" s="115" t="s">
        <v>841</v>
      </c>
      <c r="D153" s="115"/>
      <c r="E153" s="193">
        <f t="shared" ref="E153:J153" si="16">E110+E136+E151</f>
        <v>0</v>
      </c>
      <c r="F153" s="193">
        <f t="shared" si="16"/>
        <v>0</v>
      </c>
      <c r="G153" s="193">
        <f t="shared" si="16"/>
        <v>0</v>
      </c>
      <c r="H153" s="193">
        <f t="shared" si="16"/>
        <v>0</v>
      </c>
      <c r="I153" s="193">
        <f t="shared" si="16"/>
        <v>0</v>
      </c>
      <c r="J153" s="600">
        <f t="shared" si="16"/>
        <v>0</v>
      </c>
    </row>
    <row r="154" spans="1:10" ht="11.25" thickTop="1" x14ac:dyDescent="0.15">
      <c r="C154" s="115"/>
      <c r="D154" s="115"/>
      <c r="F154" s="159"/>
      <c r="G154" s="159"/>
      <c r="J154" s="167"/>
    </row>
    <row r="155" spans="1:10" x14ac:dyDescent="0.15">
      <c r="B155" s="21" t="s">
        <v>1502</v>
      </c>
      <c r="C155" s="115"/>
      <c r="D155" s="35"/>
      <c r="F155" s="159"/>
      <c r="G155" s="159"/>
      <c r="J155" s="167"/>
    </row>
    <row r="156" spans="1:10" x14ac:dyDescent="0.15">
      <c r="A156" s="35" t="s">
        <v>203</v>
      </c>
      <c r="C156" s="35" t="s">
        <v>1034</v>
      </c>
      <c r="D156" s="203"/>
      <c r="F156" s="159"/>
      <c r="G156" s="159"/>
      <c r="J156" s="167"/>
    </row>
    <row r="157" spans="1:10" x14ac:dyDescent="0.15">
      <c r="A157" s="374"/>
      <c r="C157" s="195"/>
      <c r="D157" s="203"/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564">
        <f t="shared" ref="J157:J165" si="17">H157+I157</f>
        <v>0</v>
      </c>
    </row>
    <row r="158" spans="1:10" x14ac:dyDescent="0.15">
      <c r="A158" s="374"/>
      <c r="C158" s="195"/>
      <c r="D158" s="203"/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564">
        <f t="shared" si="17"/>
        <v>0</v>
      </c>
    </row>
    <row r="159" spans="1:10" x14ac:dyDescent="0.15">
      <c r="A159" s="374"/>
      <c r="C159" s="195"/>
      <c r="D159" s="203"/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564">
        <f t="shared" si="17"/>
        <v>0</v>
      </c>
    </row>
    <row r="160" spans="1:10" x14ac:dyDescent="0.15">
      <c r="A160" s="374"/>
      <c r="C160" s="195"/>
      <c r="D160" s="203"/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564">
        <f t="shared" si="17"/>
        <v>0</v>
      </c>
    </row>
    <row r="161" spans="1:10" ht="10.5" customHeight="1" x14ac:dyDescent="0.15">
      <c r="A161" s="374"/>
      <c r="C161" s="195"/>
      <c r="D161" s="203"/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564">
        <f t="shared" si="17"/>
        <v>0</v>
      </c>
    </row>
    <row r="162" spans="1:10" x14ac:dyDescent="0.15">
      <c r="A162" s="374"/>
      <c r="C162" s="195"/>
      <c r="D162" s="203"/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564">
        <f t="shared" si="17"/>
        <v>0</v>
      </c>
    </row>
    <row r="163" spans="1:10" x14ac:dyDescent="0.15">
      <c r="A163" s="374"/>
      <c r="C163" s="195"/>
      <c r="D163" s="203"/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564">
        <f t="shared" si="17"/>
        <v>0</v>
      </c>
    </row>
    <row r="164" spans="1:10" x14ac:dyDescent="0.15">
      <c r="A164" s="374"/>
      <c r="C164" s="195"/>
      <c r="D164" s="203"/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564">
        <f t="shared" si="17"/>
        <v>0</v>
      </c>
    </row>
    <row r="165" spans="1:10" x14ac:dyDescent="0.15">
      <c r="A165" s="374"/>
      <c r="C165" s="195"/>
      <c r="D165" s="203"/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564">
        <f t="shared" si="17"/>
        <v>0</v>
      </c>
    </row>
    <row r="166" spans="1:10" x14ac:dyDescent="0.15">
      <c r="A166" s="668"/>
      <c r="B166" s="669"/>
      <c r="C166" s="665" t="s">
        <v>862</v>
      </c>
      <c r="D166" s="667"/>
      <c r="E166" s="529">
        <f t="shared" ref="E166:J166" si="18">+E91</f>
        <v>0</v>
      </c>
      <c r="F166" s="529">
        <f t="shared" si="18"/>
        <v>0</v>
      </c>
      <c r="G166" s="529">
        <f t="shared" si="18"/>
        <v>0</v>
      </c>
      <c r="H166" s="529">
        <f t="shared" si="18"/>
        <v>0</v>
      </c>
      <c r="I166" s="529">
        <f t="shared" si="18"/>
        <v>0</v>
      </c>
      <c r="J166" s="529">
        <f t="shared" si="18"/>
        <v>0</v>
      </c>
    </row>
    <row r="167" spans="1:10" ht="11.25" thickBot="1" x14ac:dyDescent="0.2">
      <c r="C167" s="115"/>
      <c r="D167" s="115"/>
      <c r="F167" s="159"/>
      <c r="G167" s="159"/>
      <c r="J167" s="167"/>
    </row>
    <row r="168" spans="1:10" ht="12" thickTop="1" thickBot="1" x14ac:dyDescent="0.2">
      <c r="C168" s="115" t="s">
        <v>1275</v>
      </c>
      <c r="D168" s="115"/>
      <c r="E168" s="193">
        <f t="shared" ref="E168:J168" si="19">SUM(E157:E167)</f>
        <v>0</v>
      </c>
      <c r="F168" s="193">
        <f t="shared" si="19"/>
        <v>0</v>
      </c>
      <c r="G168" s="193">
        <f t="shared" si="19"/>
        <v>0</v>
      </c>
      <c r="H168" s="193">
        <f t="shared" si="19"/>
        <v>0</v>
      </c>
      <c r="I168" s="193">
        <f t="shared" si="19"/>
        <v>0</v>
      </c>
      <c r="J168" s="600">
        <f t="shared" si="19"/>
        <v>0</v>
      </c>
    </row>
    <row r="169" spans="1:10" ht="12" thickTop="1" thickBot="1" x14ac:dyDescent="0.2">
      <c r="C169" s="115"/>
      <c r="D169" s="196"/>
      <c r="F169" s="159"/>
      <c r="G169" s="159"/>
      <c r="J169" s="167"/>
    </row>
    <row r="170" spans="1:10" ht="12" thickTop="1" thickBot="1" x14ac:dyDescent="0.2">
      <c r="A170" s="777" t="s">
        <v>1499</v>
      </c>
      <c r="B170" s="777"/>
      <c r="C170" s="777"/>
      <c r="E170" s="169">
        <f t="shared" ref="E170:J170" si="20">E153+E168</f>
        <v>0</v>
      </c>
      <c r="F170" s="169">
        <f t="shared" si="20"/>
        <v>0</v>
      </c>
      <c r="G170" s="169">
        <f t="shared" si="20"/>
        <v>0</v>
      </c>
      <c r="H170" s="169">
        <f t="shared" si="20"/>
        <v>0</v>
      </c>
      <c r="I170" s="169">
        <f t="shared" si="20"/>
        <v>0</v>
      </c>
      <c r="J170" s="169">
        <f t="shared" si="20"/>
        <v>0</v>
      </c>
    </row>
    <row r="171" spans="1:10" ht="11.25" thickTop="1" x14ac:dyDescent="0.15">
      <c r="F171" s="159"/>
      <c r="G171" s="159"/>
      <c r="J171" s="167"/>
    </row>
    <row r="172" spans="1:10" s="176" customFormat="1" ht="23.25" customHeight="1" x14ac:dyDescent="0.15">
      <c r="A172" s="158"/>
      <c r="B172" s="158"/>
      <c r="C172" s="158"/>
      <c r="D172" s="158"/>
      <c r="E172"/>
      <c r="F172" s="159"/>
      <c r="G172" s="159"/>
      <c r="H172" s="158"/>
      <c r="I172" s="158"/>
      <c r="J172" s="167"/>
    </row>
    <row r="173" spans="1:10" x14ac:dyDescent="0.15">
      <c r="A173" s="155" t="s">
        <v>110</v>
      </c>
      <c r="C173" s="210" t="s">
        <v>737</v>
      </c>
      <c r="D173" s="115"/>
      <c r="E173" s="159"/>
      <c r="F173" s="159"/>
      <c r="G173" s="159"/>
      <c r="H173" s="159"/>
      <c r="J173" s="167"/>
    </row>
    <row r="174" spans="1:10" x14ac:dyDescent="0.15">
      <c r="A174" s="154" t="s">
        <v>1522</v>
      </c>
      <c r="C174" s="115" t="s">
        <v>1516</v>
      </c>
      <c r="D174" s="115"/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564">
        <f>H174+I174</f>
        <v>0</v>
      </c>
    </row>
    <row r="175" spans="1:10" x14ac:dyDescent="0.15">
      <c r="A175" s="154" t="s">
        <v>1523</v>
      </c>
      <c r="C175" s="115" t="s">
        <v>1517</v>
      </c>
      <c r="D175" s="115"/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564">
        <f>H175+I175</f>
        <v>0</v>
      </c>
    </row>
    <row r="176" spans="1:10" x14ac:dyDescent="0.15">
      <c r="A176" s="154" t="s">
        <v>1524</v>
      </c>
      <c r="C176" s="115" t="s">
        <v>1518</v>
      </c>
      <c r="D176" s="115"/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564">
        <f>H176+I176</f>
        <v>0</v>
      </c>
    </row>
    <row r="177" spans="1:10" x14ac:dyDescent="0.15">
      <c r="A177" s="154" t="s">
        <v>1525</v>
      </c>
      <c r="C177" s="115" t="s">
        <v>1519</v>
      </c>
      <c r="D177" s="115"/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564">
        <f>H177+I177</f>
        <v>0</v>
      </c>
    </row>
    <row r="178" spans="1:10" ht="11.25" thickBot="1" x14ac:dyDescent="0.2">
      <c r="A178" s="154" t="s">
        <v>1526</v>
      </c>
      <c r="C178" s="115" t="s">
        <v>1520</v>
      </c>
      <c r="D178" s="115"/>
      <c r="E178" s="150">
        <v>0</v>
      </c>
      <c r="F178" s="150">
        <v>0</v>
      </c>
      <c r="G178" s="150">
        <v>0</v>
      </c>
      <c r="H178" s="150">
        <v>0</v>
      </c>
      <c r="I178" s="41">
        <v>0</v>
      </c>
      <c r="J178" s="564">
        <f>H178+I178</f>
        <v>0</v>
      </c>
    </row>
    <row r="179" spans="1:10" ht="12" thickTop="1" thickBot="1" x14ac:dyDescent="0.2">
      <c r="A179" s="149"/>
      <c r="C179" s="115" t="s">
        <v>724</v>
      </c>
      <c r="D179" s="115"/>
      <c r="E179" s="151">
        <f t="shared" ref="E179:J179" si="21">SUM(E174:E178)</f>
        <v>0</v>
      </c>
      <c r="F179" s="151">
        <f t="shared" si="21"/>
        <v>0</v>
      </c>
      <c r="G179" s="151">
        <f t="shared" si="21"/>
        <v>0</v>
      </c>
      <c r="H179" s="151">
        <f t="shared" si="21"/>
        <v>0</v>
      </c>
      <c r="I179" s="151">
        <f t="shared" si="21"/>
        <v>0</v>
      </c>
      <c r="J179" s="169">
        <f t="shared" si="21"/>
        <v>0</v>
      </c>
    </row>
    <row r="180" spans="1:10" ht="12" thickTop="1" thickBot="1" x14ac:dyDescent="0.2">
      <c r="A180" s="149"/>
      <c r="C180" s="115"/>
      <c r="D180" s="176"/>
      <c r="E180" s="159"/>
      <c r="F180" s="159"/>
      <c r="G180" s="159"/>
      <c r="H180" s="159"/>
      <c r="J180" s="167"/>
    </row>
    <row r="181" spans="1:10" ht="11.25" thickBot="1" x14ac:dyDescent="0.2">
      <c r="A181" s="776" t="s">
        <v>794</v>
      </c>
      <c r="B181" s="776"/>
      <c r="C181" s="776"/>
      <c r="D181" s="115"/>
      <c r="E181" s="171">
        <f t="shared" ref="E181:J181" si="22">E170+E179</f>
        <v>0</v>
      </c>
      <c r="F181" s="171">
        <f t="shared" si="22"/>
        <v>0</v>
      </c>
      <c r="G181" s="171">
        <f t="shared" si="22"/>
        <v>0</v>
      </c>
      <c r="H181" s="171">
        <f t="shared" si="22"/>
        <v>0</v>
      </c>
      <c r="I181" s="171">
        <f t="shared" si="22"/>
        <v>0</v>
      </c>
      <c r="J181" s="171">
        <f t="shared" si="22"/>
        <v>0</v>
      </c>
    </row>
    <row r="182" spans="1:10" x14ac:dyDescent="0.15">
      <c r="A182" s="149"/>
      <c r="C182" s="115" t="s">
        <v>725</v>
      </c>
      <c r="D182" s="115"/>
      <c r="E182" s="159"/>
      <c r="F182" s="159"/>
      <c r="G182" s="159"/>
      <c r="H182" s="159"/>
      <c r="J182" s="167"/>
    </row>
    <row r="183" spans="1:10" ht="11.25" thickBot="1" x14ac:dyDescent="0.2">
      <c r="A183" s="149"/>
      <c r="C183" s="115"/>
      <c r="D183" s="172"/>
      <c r="E183" s="159"/>
      <c r="F183" s="159"/>
      <c r="G183" s="159"/>
      <c r="H183" s="159"/>
      <c r="J183" s="167"/>
    </row>
    <row r="184" spans="1:10" ht="12" thickTop="1" thickBot="1" x14ac:dyDescent="0.2">
      <c r="C184" s="172" t="s">
        <v>726</v>
      </c>
      <c r="E184" s="173">
        <f t="shared" ref="E184:J184" si="23">E88</f>
        <v>0</v>
      </c>
      <c r="F184" s="173">
        <f t="shared" si="23"/>
        <v>0</v>
      </c>
      <c r="G184" s="173">
        <f t="shared" si="23"/>
        <v>0</v>
      </c>
      <c r="H184" s="173">
        <f t="shared" si="23"/>
        <v>0</v>
      </c>
      <c r="I184" s="173">
        <f t="shared" si="23"/>
        <v>0</v>
      </c>
      <c r="J184" s="173">
        <f t="shared" si="23"/>
        <v>0</v>
      </c>
    </row>
    <row r="185" spans="1:10" ht="11.25" thickTop="1" x14ac:dyDescent="0.15">
      <c r="D185" s="172"/>
      <c r="E185" s="158"/>
      <c r="J185" s="167"/>
    </row>
    <row r="186" spans="1:10" x14ac:dyDescent="0.15">
      <c r="C186" s="172" t="s">
        <v>727</v>
      </c>
      <c r="E186" s="158">
        <f t="shared" ref="E186:J186" si="24">E181-E184</f>
        <v>0</v>
      </c>
      <c r="F186" s="158">
        <f t="shared" si="24"/>
        <v>0</v>
      </c>
      <c r="G186" s="158">
        <f t="shared" si="24"/>
        <v>0</v>
      </c>
      <c r="H186" s="158">
        <f t="shared" si="24"/>
        <v>0</v>
      </c>
      <c r="I186" s="158">
        <f t="shared" si="24"/>
        <v>0</v>
      </c>
      <c r="J186" s="167">
        <f t="shared" si="24"/>
        <v>0</v>
      </c>
    </row>
    <row r="187" spans="1:10" x14ac:dyDescent="0.15">
      <c r="J187" s="167"/>
    </row>
    <row r="188" spans="1:10" x14ac:dyDescent="0.15">
      <c r="J188" s="167"/>
    </row>
    <row r="189" spans="1:10" x14ac:dyDescent="0.15">
      <c r="A189" s="115" t="s">
        <v>417</v>
      </c>
    </row>
    <row r="192" spans="1:10" x14ac:dyDescent="0.15">
      <c r="A192" s="18" t="s">
        <v>164</v>
      </c>
      <c r="D192" s="115"/>
    </row>
    <row r="193" spans="2:3" x14ac:dyDescent="0.15">
      <c r="B193" s="183" t="s">
        <v>389</v>
      </c>
      <c r="C193" s="115" t="s">
        <v>679</v>
      </c>
    </row>
    <row r="194" spans="2:3" x14ac:dyDescent="0.15">
      <c r="B194" s="184" t="s">
        <v>682</v>
      </c>
      <c r="C194" s="115" t="s">
        <v>680</v>
      </c>
    </row>
    <row r="195" spans="2:3" x14ac:dyDescent="0.15">
      <c r="B195" s="184" t="s">
        <v>683</v>
      </c>
      <c r="C195" s="115" t="s">
        <v>681</v>
      </c>
    </row>
    <row r="196" spans="2:3" x14ac:dyDescent="0.15">
      <c r="B196" s="183" t="s">
        <v>590</v>
      </c>
      <c r="C196" s="115" t="s">
        <v>591</v>
      </c>
    </row>
    <row r="197" spans="2:3" x14ac:dyDescent="0.15">
      <c r="B197" s="183" t="s">
        <v>592</v>
      </c>
      <c r="C197" s="115" t="s">
        <v>593</v>
      </c>
    </row>
    <row r="198" spans="2:3" x14ac:dyDescent="0.15">
      <c r="B198" s="183" t="s">
        <v>594</v>
      </c>
      <c r="C198" s="115" t="s">
        <v>595</v>
      </c>
    </row>
  </sheetData>
  <sheetProtection password="CB03" sheet="1" formatCells="0" formatColumns="0" formatRows="0"/>
  <mergeCells count="3">
    <mergeCell ref="A181:C181"/>
    <mergeCell ref="A88:C88"/>
    <mergeCell ref="A170:C170"/>
  </mergeCells>
  <phoneticPr fontId="15" type="noConversion"/>
  <pageMargins left="0.5" right="0.5" top="0.75" bottom="0.75" header="0.5" footer="0.5"/>
  <pageSetup scale="60" firstPageNumber="31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43" workbookViewId="0">
      <selection activeCell="D4" sqref="D4"/>
    </sheetView>
  </sheetViews>
  <sheetFormatPr defaultRowHeight="10.5" x14ac:dyDescent="0.15"/>
  <cols>
    <col min="1" max="1" width="12.33203125" style="158" customWidth="1"/>
    <col min="2" max="2" width="3.6640625" style="158" customWidth="1"/>
    <col min="3" max="3" width="70.83203125" style="158" customWidth="1"/>
    <col min="4" max="4" width="15.83203125" customWidth="1"/>
    <col min="5" max="6" width="17.6640625" style="158" customWidth="1"/>
    <col min="7" max="7" width="15.83203125" style="158" customWidth="1"/>
    <col min="8" max="9" width="16.6640625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G1" s="38" t="s">
        <v>1588</v>
      </c>
    </row>
    <row r="2" spans="1:9" x14ac:dyDescent="0.15">
      <c r="A2" s="15" t="s">
        <v>418</v>
      </c>
    </row>
    <row r="3" spans="1:9" ht="42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G6+H6</f>
        <v>0</v>
      </c>
    </row>
    <row r="7" spans="1:9" x14ac:dyDescent="0.15">
      <c r="A7" s="36" t="s">
        <v>1592</v>
      </c>
      <c r="C7" s="210" t="s">
        <v>196</v>
      </c>
      <c r="D7" s="159"/>
      <c r="F7" s="159"/>
      <c r="G7" s="159"/>
      <c r="I7" s="167"/>
    </row>
    <row r="8" spans="1:9" x14ac:dyDescent="0.15">
      <c r="A8" s="115" t="s">
        <v>1602</v>
      </c>
      <c r="B8" s="160" t="s">
        <v>1159</v>
      </c>
      <c r="C8" s="115" t="s">
        <v>443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G8+H8</f>
        <v>0</v>
      </c>
    </row>
    <row r="9" spans="1:9" x14ac:dyDescent="0.15">
      <c r="A9" s="152" t="s">
        <v>113</v>
      </c>
      <c r="B9" s="160" t="s">
        <v>1160</v>
      </c>
      <c r="C9" s="115" t="s">
        <v>721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15" si="0">G9+H9</f>
        <v>0</v>
      </c>
    </row>
    <row r="10" spans="1:9" x14ac:dyDescent="0.15">
      <c r="A10" s="152" t="s">
        <v>532</v>
      </c>
      <c r="B10" s="160" t="s">
        <v>1161</v>
      </c>
      <c r="C10" s="115" t="s">
        <v>533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1527</v>
      </c>
      <c r="B11" s="160" t="s">
        <v>1228</v>
      </c>
      <c r="C11" s="115" t="s">
        <v>218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15" t="s">
        <v>439</v>
      </c>
      <c r="B12" s="160" t="s">
        <v>1229</v>
      </c>
      <c r="C12" s="115" t="s">
        <v>1257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15" t="s">
        <v>440</v>
      </c>
      <c r="B13" s="160" t="s">
        <v>1230</v>
      </c>
      <c r="C13" s="115" t="s">
        <v>1258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15" t="s">
        <v>105</v>
      </c>
      <c r="B14" s="160" t="s">
        <v>1231</v>
      </c>
      <c r="C14" s="2" t="s">
        <v>854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15"/>
      <c r="B15" s="160" t="s">
        <v>1232</v>
      </c>
      <c r="C15" s="138" t="s">
        <v>1051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ht="11.25" thickBot="1" x14ac:dyDescent="0.2">
      <c r="A16" s="115"/>
      <c r="B16" s="167"/>
      <c r="C16" s="2"/>
      <c r="D16" s="14"/>
      <c r="F16" s="159"/>
      <c r="G16" s="159"/>
      <c r="I16" s="167"/>
    </row>
    <row r="17" spans="1:9" ht="12" thickTop="1" thickBot="1" x14ac:dyDescent="0.2">
      <c r="B17" s="160" t="s">
        <v>1240</v>
      </c>
      <c r="C17" s="35" t="s">
        <v>1052</v>
      </c>
      <c r="D17" s="169">
        <f t="shared" ref="D17:I17" si="1">SUM(D8:D15)</f>
        <v>0</v>
      </c>
      <c r="E17" s="169">
        <f t="shared" si="1"/>
        <v>0</v>
      </c>
      <c r="F17" s="169">
        <f t="shared" si="1"/>
        <v>0</v>
      </c>
      <c r="G17" s="169">
        <f t="shared" si="1"/>
        <v>0</v>
      </c>
      <c r="H17" s="169">
        <f t="shared" si="1"/>
        <v>0</v>
      </c>
      <c r="I17" s="169">
        <f t="shared" si="1"/>
        <v>0</v>
      </c>
    </row>
    <row r="18" spans="1:9" ht="12" thickTop="1" thickBot="1" x14ac:dyDescent="0.2">
      <c r="B18" s="167"/>
      <c r="C18" s="115"/>
      <c r="D18" s="192"/>
      <c r="E18" s="192"/>
      <c r="F18" s="192"/>
      <c r="G18" s="192"/>
      <c r="I18" s="167"/>
    </row>
    <row r="19" spans="1:9" ht="11.25" thickBot="1" x14ac:dyDescent="0.2">
      <c r="A19" s="35" t="s">
        <v>1168</v>
      </c>
      <c r="D19" s="171">
        <f t="shared" ref="D19:I19" si="2">D6+D17</f>
        <v>0</v>
      </c>
      <c r="E19" s="171">
        <f t="shared" si="2"/>
        <v>0</v>
      </c>
      <c r="F19" s="171">
        <f t="shared" si="2"/>
        <v>0</v>
      </c>
      <c r="G19" s="171">
        <f t="shared" si="2"/>
        <v>0</v>
      </c>
      <c r="H19" s="171">
        <f t="shared" si="2"/>
        <v>0</v>
      </c>
      <c r="I19" s="171">
        <f t="shared" si="2"/>
        <v>0</v>
      </c>
    </row>
    <row r="20" spans="1:9" x14ac:dyDescent="0.15">
      <c r="A20" s="35"/>
      <c r="D20" s="170"/>
      <c r="E20" s="170"/>
      <c r="F20" s="170"/>
      <c r="G20" s="170"/>
      <c r="I20" s="167"/>
    </row>
    <row r="21" spans="1:9" x14ac:dyDescent="0.15">
      <c r="A21" s="660" t="s">
        <v>824</v>
      </c>
      <c r="B21" s="424"/>
      <c r="C21" s="495" t="s">
        <v>816</v>
      </c>
      <c r="D21" s="423"/>
      <c r="E21" s="423"/>
      <c r="F21" s="423"/>
      <c r="G21" s="423"/>
      <c r="H21" s="423"/>
      <c r="I21" s="179"/>
    </row>
    <row r="22" spans="1:9" x14ac:dyDescent="0.15">
      <c r="A22" s="436" t="s">
        <v>105</v>
      </c>
      <c r="B22" s="501" t="s">
        <v>855</v>
      </c>
      <c r="C22" s="2" t="s">
        <v>827</v>
      </c>
      <c r="D22" s="41">
        <v>0</v>
      </c>
      <c r="E22" s="41">
        <v>0</v>
      </c>
      <c r="F22" s="41">
        <v>0</v>
      </c>
      <c r="G22" s="41">
        <v>0</v>
      </c>
      <c r="H22" s="534">
        <v>0</v>
      </c>
      <c r="I22" s="535">
        <f>SUM(G22+H22)</f>
        <v>0</v>
      </c>
    </row>
    <row r="23" spans="1:9" x14ac:dyDescent="0.15">
      <c r="A23" s="436"/>
      <c r="B23" s="501"/>
      <c r="C23" s="2"/>
      <c r="D23" s="14"/>
      <c r="E23" s="14"/>
      <c r="F23" s="14"/>
      <c r="G23" s="14"/>
      <c r="H23" s="308"/>
      <c r="I23" s="305"/>
    </row>
    <row r="24" spans="1:9" x14ac:dyDescent="0.15">
      <c r="A24" s="490"/>
      <c r="B24" s="424"/>
      <c r="C24" s="423"/>
      <c r="D24" s="423"/>
      <c r="E24" s="423"/>
      <c r="F24" s="423"/>
      <c r="G24" s="423"/>
      <c r="H24" s="423"/>
      <c r="I24" s="423"/>
    </row>
    <row r="25" spans="1:9" s="309" customFormat="1" x14ac:dyDescent="0.15">
      <c r="A25" s="158"/>
      <c r="B25" s="158"/>
      <c r="C25" s="210" t="s">
        <v>199</v>
      </c>
      <c r="D25" s="159"/>
      <c r="E25" s="158"/>
      <c r="F25" s="170"/>
      <c r="G25" s="170"/>
      <c r="H25" s="158"/>
      <c r="I25" s="167"/>
    </row>
    <row r="26" spans="1:9" s="309" customFormat="1" x14ac:dyDescent="0.15">
      <c r="A26" s="204" t="s">
        <v>387</v>
      </c>
      <c r="B26" s="158"/>
      <c r="C26" s="158"/>
      <c r="D26" s="159"/>
      <c r="E26" s="159"/>
      <c r="F26" s="159"/>
      <c r="G26" s="158"/>
      <c r="H26" s="158"/>
      <c r="I26" s="167"/>
    </row>
    <row r="27" spans="1:9" s="309" customFormat="1" x14ac:dyDescent="0.15">
      <c r="A27" s="112" t="s">
        <v>233</v>
      </c>
      <c r="B27" s="158"/>
      <c r="C27" s="158"/>
      <c r="D27" s="159"/>
      <c r="E27" s="159"/>
      <c r="F27" s="159"/>
      <c r="G27" s="158"/>
      <c r="H27" s="158"/>
      <c r="I27" s="167"/>
    </row>
    <row r="28" spans="1:9" s="309" customFormat="1" x14ac:dyDescent="0.15">
      <c r="A28" s="36" t="s">
        <v>198</v>
      </c>
      <c r="B28" s="158"/>
      <c r="C28" s="158"/>
      <c r="D28" s="159"/>
      <c r="E28" s="159"/>
      <c r="F28" s="159"/>
      <c r="G28" s="158"/>
      <c r="H28" s="158"/>
      <c r="I28" s="167"/>
    </row>
    <row r="29" spans="1:9" x14ac:dyDescent="0.15">
      <c r="A29" s="311" t="s">
        <v>1577</v>
      </c>
      <c r="B29" s="583" t="s">
        <v>1240</v>
      </c>
      <c r="C29" s="312" t="s">
        <v>228</v>
      </c>
      <c r="D29" s="316">
        <v>0</v>
      </c>
      <c r="E29" s="316">
        <v>0</v>
      </c>
      <c r="F29" s="316">
        <v>0</v>
      </c>
      <c r="G29" s="529">
        <f t="array" ref="G29">SUM(IF(CertFund&amp;CertProg&amp;CertObj=RIGHT(LEFT($A$2,7),2)&amp;LEFT(A26,4)&amp;A29,CertSalary))+SUM(IF(CertFund&amp;CertProg&amp;CertObj=RIGHT(LEFT($A$2,7),2)&amp;LEFT(A27,4)&amp;A29,CertSalary))</f>
        <v>0</v>
      </c>
      <c r="H29" s="584">
        <v>0</v>
      </c>
      <c r="I29" s="575">
        <f>SUM(G29+H29)</f>
        <v>0</v>
      </c>
    </row>
    <row r="30" spans="1:9" x14ac:dyDescent="0.15">
      <c r="A30" s="311" t="s">
        <v>423</v>
      </c>
      <c r="B30" s="583" t="s">
        <v>1240</v>
      </c>
      <c r="C30" s="312" t="s">
        <v>510</v>
      </c>
      <c r="D30" s="316">
        <v>0</v>
      </c>
      <c r="E30" s="316">
        <v>0</v>
      </c>
      <c r="F30" s="316">
        <v>0</v>
      </c>
      <c r="G30" s="316">
        <v>0</v>
      </c>
      <c r="H30" s="584">
        <v>0</v>
      </c>
      <c r="I30" s="575">
        <f>SUM(G30+H30)</f>
        <v>0</v>
      </c>
    </row>
    <row r="31" spans="1:9" x14ac:dyDescent="0.15">
      <c r="A31" s="311" t="s">
        <v>1578</v>
      </c>
      <c r="B31" s="583" t="s">
        <v>1244</v>
      </c>
      <c r="C31" s="312" t="s">
        <v>234</v>
      </c>
      <c r="D31" s="316">
        <v>0</v>
      </c>
      <c r="E31" s="316">
        <v>0</v>
      </c>
      <c r="F31" s="316">
        <v>0</v>
      </c>
      <c r="G31" s="529">
        <f t="array" ref="G31">SUM(IF(CertFund&amp;CertProg&amp;CertObj=RIGHT(LEFT($A$2,7),2)&amp;LEFT(A26,4)&amp;A29,CertBen))+SUM(IF(CertFund&amp;CertProg&amp;CertObj=RIGHT(LEFT($A$2,7),2)&amp;LEFT(A27,4)&amp;A29,CertBen))</f>
        <v>0</v>
      </c>
      <c r="H31" s="584">
        <v>0</v>
      </c>
      <c r="I31" s="575">
        <f>SUM(G31+H31)</f>
        <v>0</v>
      </c>
    </row>
    <row r="32" spans="1:9" x14ac:dyDescent="0.15">
      <c r="A32" s="311" t="s">
        <v>424</v>
      </c>
      <c r="B32" s="583" t="s">
        <v>1244</v>
      </c>
      <c r="C32" s="312" t="s">
        <v>511</v>
      </c>
      <c r="D32" s="316">
        <v>0</v>
      </c>
      <c r="E32" s="316">
        <v>0</v>
      </c>
      <c r="F32" s="316">
        <v>0</v>
      </c>
      <c r="G32" s="316">
        <v>0</v>
      </c>
      <c r="H32" s="584">
        <v>0</v>
      </c>
      <c r="I32" s="575">
        <f>SUM(G32+H32)</f>
        <v>0</v>
      </c>
    </row>
    <row r="33" spans="1:9" x14ac:dyDescent="0.15">
      <c r="A33" s="115" t="s">
        <v>425</v>
      </c>
      <c r="B33" s="174" t="s">
        <v>1241</v>
      </c>
      <c r="C33" s="115" t="s">
        <v>1246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ref="I33:I39" si="3">G33+H33</f>
        <v>0</v>
      </c>
    </row>
    <row r="34" spans="1:9" x14ac:dyDescent="0.15">
      <c r="A34" s="115" t="s">
        <v>426</v>
      </c>
      <c r="B34" s="174" t="s">
        <v>1242</v>
      </c>
      <c r="C34" s="115" t="s">
        <v>119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564">
        <f t="shared" si="3"/>
        <v>0</v>
      </c>
    </row>
    <row r="35" spans="1:9" x14ac:dyDescent="0.15">
      <c r="A35" s="115" t="s">
        <v>427</v>
      </c>
      <c r="B35" s="174" t="s">
        <v>1247</v>
      </c>
      <c r="C35" s="115" t="s">
        <v>124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 t="shared" si="3"/>
        <v>0</v>
      </c>
    </row>
    <row r="36" spans="1:9" x14ac:dyDescent="0.15">
      <c r="A36" s="115" t="s">
        <v>428</v>
      </c>
      <c r="B36" s="174" t="s">
        <v>1248</v>
      </c>
      <c r="C36" s="115" t="s">
        <v>156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si="3"/>
        <v>0</v>
      </c>
    </row>
    <row r="37" spans="1:9" x14ac:dyDescent="0.15">
      <c r="A37" s="108" t="s">
        <v>81</v>
      </c>
      <c r="B37" s="174" t="s">
        <v>1249</v>
      </c>
      <c r="C37" s="1" t="s">
        <v>82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3"/>
        <v>0</v>
      </c>
    </row>
    <row r="38" spans="1:9" x14ac:dyDescent="0.15">
      <c r="A38" s="652" t="s">
        <v>631</v>
      </c>
      <c r="B38" s="655" t="s">
        <v>1250</v>
      </c>
      <c r="C38" s="653" t="s">
        <v>173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3"/>
        <v>0</v>
      </c>
    </row>
    <row r="39" spans="1:9" x14ac:dyDescent="0.15">
      <c r="A39" s="115" t="s">
        <v>429</v>
      </c>
      <c r="B39" s="174" t="s">
        <v>1251</v>
      </c>
      <c r="C39" s="115" t="s">
        <v>1572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3"/>
        <v>0</v>
      </c>
    </row>
    <row r="40" spans="1:9" ht="11.25" thickBot="1" x14ac:dyDescent="0.2">
      <c r="A40" s="115"/>
      <c r="C40" s="115"/>
      <c r="D40" s="14"/>
      <c r="E40" s="159"/>
      <c r="F40" s="159"/>
      <c r="I40" s="167"/>
    </row>
    <row r="41" spans="1:9" ht="12" thickTop="1" thickBot="1" x14ac:dyDescent="0.2">
      <c r="B41" s="174" t="s">
        <v>1252</v>
      </c>
      <c r="C41" s="115" t="s">
        <v>1162</v>
      </c>
      <c r="D41" s="169">
        <f t="shared" ref="D41:I41" si="4">SUM(D29:D39)</f>
        <v>0</v>
      </c>
      <c r="E41" s="169">
        <f t="shared" si="4"/>
        <v>0</v>
      </c>
      <c r="F41" s="169">
        <f t="shared" si="4"/>
        <v>0</v>
      </c>
      <c r="G41" s="169">
        <f t="shared" si="4"/>
        <v>0</v>
      </c>
      <c r="H41" s="169">
        <f t="shared" si="4"/>
        <v>0</v>
      </c>
      <c r="I41" s="169">
        <f t="shared" si="4"/>
        <v>0</v>
      </c>
    </row>
    <row r="42" spans="1:9" ht="11.25" thickTop="1" x14ac:dyDescent="0.15">
      <c r="A42" s="36"/>
      <c r="C42" s="40"/>
      <c r="D42" s="159"/>
      <c r="E42" s="159"/>
      <c r="F42" s="159"/>
      <c r="I42" s="167"/>
    </row>
    <row r="43" spans="1:9" x14ac:dyDescent="0.15">
      <c r="A43" s="36"/>
      <c r="C43" s="172" t="s">
        <v>217</v>
      </c>
      <c r="D43" s="159"/>
      <c r="E43" s="159"/>
      <c r="F43" s="159"/>
      <c r="I43" s="167"/>
    </row>
    <row r="44" spans="1:9" x14ac:dyDescent="0.15">
      <c r="A44" s="115" t="s">
        <v>423</v>
      </c>
      <c r="B44" s="174" t="s">
        <v>1253</v>
      </c>
      <c r="C44" s="115" t="s">
        <v>230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564">
        <f t="shared" ref="I44:I53" si="5">G44+H44</f>
        <v>0</v>
      </c>
    </row>
    <row r="45" spans="1:9" x14ac:dyDescent="0.15">
      <c r="A45" s="115" t="s">
        <v>424</v>
      </c>
      <c r="B45" s="174" t="s">
        <v>1254</v>
      </c>
      <c r="C45" s="115" t="s">
        <v>231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564">
        <f t="shared" si="5"/>
        <v>0</v>
      </c>
    </row>
    <row r="46" spans="1:9" x14ac:dyDescent="0.15">
      <c r="A46" s="115" t="s">
        <v>425</v>
      </c>
      <c r="B46" s="174" t="s">
        <v>1255</v>
      </c>
      <c r="C46" s="115" t="s">
        <v>1246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564">
        <f t="shared" si="5"/>
        <v>0</v>
      </c>
    </row>
    <row r="47" spans="1:9" x14ac:dyDescent="0.15">
      <c r="A47" s="115" t="s">
        <v>426</v>
      </c>
      <c r="B47" s="174" t="s">
        <v>1260</v>
      </c>
      <c r="C47" s="115" t="s">
        <v>119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564">
        <f t="shared" si="5"/>
        <v>0</v>
      </c>
    </row>
    <row r="48" spans="1:9" x14ac:dyDescent="0.15">
      <c r="A48" s="115" t="s">
        <v>427</v>
      </c>
      <c r="B48" s="174" t="s">
        <v>1261</v>
      </c>
      <c r="C48" s="115" t="s">
        <v>124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564">
        <f t="shared" si="5"/>
        <v>0</v>
      </c>
    </row>
    <row r="49" spans="1:9" x14ac:dyDescent="0.15">
      <c r="A49" s="115" t="s">
        <v>428</v>
      </c>
      <c r="B49" s="174" t="s">
        <v>1262</v>
      </c>
      <c r="C49" s="115" t="s">
        <v>156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564">
        <f t="shared" si="5"/>
        <v>0</v>
      </c>
    </row>
    <row r="50" spans="1:9" x14ac:dyDescent="0.15">
      <c r="A50" s="108" t="s">
        <v>81</v>
      </c>
      <c r="B50" s="174" t="s">
        <v>1263</v>
      </c>
      <c r="C50" s="1" t="s">
        <v>82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564">
        <f t="shared" si="5"/>
        <v>0</v>
      </c>
    </row>
    <row r="51" spans="1:9" customFormat="1" x14ac:dyDescent="0.15">
      <c r="A51" s="652" t="s">
        <v>631</v>
      </c>
      <c r="B51" s="655" t="s">
        <v>1265</v>
      </c>
      <c r="C51" s="653" t="s">
        <v>173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564">
        <f t="shared" si="5"/>
        <v>0</v>
      </c>
    </row>
    <row r="52" spans="1:9" x14ac:dyDescent="0.15">
      <c r="A52" s="521"/>
      <c r="B52" s="521"/>
      <c r="C52" s="663" t="s">
        <v>29</v>
      </c>
      <c r="D52" s="664">
        <f t="shared" ref="D52:I52" si="6">+D22</f>
        <v>0</v>
      </c>
      <c r="E52" s="664">
        <f t="shared" si="6"/>
        <v>0</v>
      </c>
      <c r="F52" s="664">
        <f t="shared" si="6"/>
        <v>0</v>
      </c>
      <c r="G52" s="664">
        <f t="shared" si="6"/>
        <v>0</v>
      </c>
      <c r="H52" s="664">
        <f t="shared" si="6"/>
        <v>0</v>
      </c>
      <c r="I52" s="664">
        <f t="shared" si="6"/>
        <v>0</v>
      </c>
    </row>
    <row r="53" spans="1:9" customFormat="1" x14ac:dyDescent="0.15">
      <c r="A53" s="115" t="s">
        <v>429</v>
      </c>
      <c r="B53" s="174" t="s">
        <v>1266</v>
      </c>
      <c r="C53" s="115" t="s">
        <v>1572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64">
        <f t="shared" si="5"/>
        <v>0</v>
      </c>
    </row>
    <row r="54" spans="1:9" customFormat="1" ht="11.25" thickBot="1" x14ac:dyDescent="0.2">
      <c r="A54" s="115"/>
      <c r="B54" s="158"/>
      <c r="C54" s="115"/>
      <c r="D54" s="14"/>
      <c r="E54" s="159"/>
      <c r="F54" s="159"/>
      <c r="G54" s="158"/>
      <c r="H54" s="158"/>
      <c r="I54" s="167"/>
    </row>
    <row r="55" spans="1:9" customFormat="1" ht="12" thickTop="1" thickBot="1" x14ac:dyDescent="0.2">
      <c r="A55" s="158"/>
      <c r="B55" s="174" t="s">
        <v>1267</v>
      </c>
      <c r="C55" s="172" t="s">
        <v>1163</v>
      </c>
      <c r="D55" s="169">
        <f t="shared" ref="D55:I55" si="7">SUM(D44:D53)</f>
        <v>0</v>
      </c>
      <c r="E55" s="169">
        <f t="shared" si="7"/>
        <v>0</v>
      </c>
      <c r="F55" s="169">
        <f t="shared" si="7"/>
        <v>0</v>
      </c>
      <c r="G55" s="169">
        <f t="shared" si="7"/>
        <v>0</v>
      </c>
      <c r="H55" s="169">
        <f t="shared" si="7"/>
        <v>0</v>
      </c>
      <c r="I55" s="169">
        <f t="shared" si="7"/>
        <v>0</v>
      </c>
    </row>
    <row r="56" spans="1:9" customFormat="1" ht="12" thickTop="1" thickBot="1" x14ac:dyDescent="0.2">
      <c r="D56" s="5"/>
      <c r="E56" s="5"/>
      <c r="F56" s="5"/>
      <c r="I56" s="6"/>
    </row>
    <row r="57" spans="1:9" customFormat="1" ht="12" thickTop="1" thickBot="1" x14ac:dyDescent="0.2">
      <c r="A57" s="158"/>
      <c r="B57" s="174" t="s">
        <v>1268</v>
      </c>
      <c r="C57" s="35" t="s">
        <v>1164</v>
      </c>
      <c r="D57" s="173">
        <f t="shared" ref="D57:I57" si="8">D41+D55</f>
        <v>0</v>
      </c>
      <c r="E57" s="173">
        <f t="shared" si="8"/>
        <v>0</v>
      </c>
      <c r="F57" s="173">
        <f t="shared" si="8"/>
        <v>0</v>
      </c>
      <c r="G57" s="173">
        <f t="shared" si="8"/>
        <v>0</v>
      </c>
      <c r="H57" s="173">
        <f t="shared" si="8"/>
        <v>0</v>
      </c>
      <c r="I57" s="173">
        <f t="shared" si="8"/>
        <v>0</v>
      </c>
    </row>
    <row r="58" spans="1:9" customFormat="1" ht="11.25" thickTop="1" x14ac:dyDescent="0.15">
      <c r="D58" s="5"/>
      <c r="E58" s="5"/>
      <c r="F58" s="5"/>
      <c r="I58" s="6"/>
    </row>
    <row r="59" spans="1:9" customFormat="1" x14ac:dyDescent="0.15">
      <c r="A59" s="155" t="s">
        <v>110</v>
      </c>
      <c r="B59" s="158"/>
      <c r="C59" s="210" t="s">
        <v>737</v>
      </c>
      <c r="D59" s="159"/>
      <c r="E59" s="159"/>
      <c r="F59" s="159"/>
      <c r="G59" s="159"/>
      <c r="I59" s="6"/>
    </row>
    <row r="60" spans="1:9" customFormat="1" x14ac:dyDescent="0.15">
      <c r="A60" s="154" t="s">
        <v>1522</v>
      </c>
      <c r="B60" s="160" t="s">
        <v>1269</v>
      </c>
      <c r="C60" s="115" t="s">
        <v>1516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564">
        <f>G60+H60</f>
        <v>0</v>
      </c>
    </row>
    <row r="61" spans="1:9" customFormat="1" x14ac:dyDescent="0.15">
      <c r="A61" s="154" t="s">
        <v>1523</v>
      </c>
      <c r="B61" s="160" t="s">
        <v>1270</v>
      </c>
      <c r="C61" s="115" t="s">
        <v>1517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564">
        <f>G61+H61</f>
        <v>0</v>
      </c>
    </row>
    <row r="62" spans="1:9" customFormat="1" ht="11.25" customHeight="1" x14ac:dyDescent="0.15">
      <c r="A62" s="154" t="s">
        <v>1524</v>
      </c>
      <c r="B62" s="160" t="s">
        <v>1271</v>
      </c>
      <c r="C62" s="115" t="s">
        <v>1518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564">
        <f>G62+H62</f>
        <v>0</v>
      </c>
    </row>
    <row r="63" spans="1:9" customFormat="1" x14ac:dyDescent="0.15">
      <c r="A63" s="725" t="s">
        <v>1675</v>
      </c>
      <c r="B63" s="726" t="s">
        <v>1272</v>
      </c>
      <c r="C63" s="692" t="s">
        <v>1676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564">
        <f>G63+H63</f>
        <v>0</v>
      </c>
    </row>
    <row r="64" spans="1:9" customFormat="1" ht="11.25" thickBot="1" x14ac:dyDescent="0.2">
      <c r="A64" s="154" t="s">
        <v>1526</v>
      </c>
      <c r="B64" s="160" t="s">
        <v>1273</v>
      </c>
      <c r="C64" s="115" t="s">
        <v>1520</v>
      </c>
      <c r="D64" s="150">
        <v>0</v>
      </c>
      <c r="E64" s="150">
        <v>0</v>
      </c>
      <c r="F64" s="150">
        <v>0</v>
      </c>
      <c r="G64" s="150">
        <v>0</v>
      </c>
      <c r="H64" s="41">
        <v>0</v>
      </c>
      <c r="I64" s="564">
        <f>G64+H64</f>
        <v>0</v>
      </c>
    </row>
    <row r="65" spans="1:9" customFormat="1" ht="12" thickTop="1" thickBot="1" x14ac:dyDescent="0.2">
      <c r="A65" s="149"/>
      <c r="B65" s="160" t="s">
        <v>1274</v>
      </c>
      <c r="C65" s="115" t="s">
        <v>1165</v>
      </c>
      <c r="D65" s="151">
        <f t="shared" ref="D65:I65" si="9">SUM(D60:D64)</f>
        <v>0</v>
      </c>
      <c r="E65" s="151">
        <f t="shared" si="9"/>
        <v>0</v>
      </c>
      <c r="F65" s="151">
        <f t="shared" si="9"/>
        <v>0</v>
      </c>
      <c r="G65" s="151">
        <f t="shared" si="9"/>
        <v>0</v>
      </c>
      <c r="H65" s="151">
        <f t="shared" si="9"/>
        <v>0</v>
      </c>
      <c r="I65" s="169">
        <f t="shared" si="9"/>
        <v>0</v>
      </c>
    </row>
    <row r="66" spans="1:9" customFormat="1" ht="12" thickTop="1" thickBot="1" x14ac:dyDescent="0.2">
      <c r="A66" s="149"/>
      <c r="B66" s="158"/>
      <c r="C66" s="115"/>
      <c r="D66" s="159"/>
      <c r="E66" s="159"/>
      <c r="F66" s="159"/>
      <c r="G66" s="159"/>
      <c r="I66" s="6"/>
    </row>
    <row r="67" spans="1:9" customFormat="1" ht="11.25" thickBot="1" x14ac:dyDescent="0.2">
      <c r="A67" s="776" t="s">
        <v>1166</v>
      </c>
      <c r="B67" s="776"/>
      <c r="C67" s="777"/>
      <c r="D67" s="212">
        <f t="shared" ref="D67:I67" si="10">D57+D65</f>
        <v>0</v>
      </c>
      <c r="E67" s="212">
        <f t="shared" si="10"/>
        <v>0</v>
      </c>
      <c r="F67" s="212">
        <f t="shared" si="10"/>
        <v>0</v>
      </c>
      <c r="G67" s="212">
        <f t="shared" si="10"/>
        <v>0</v>
      </c>
      <c r="H67" s="212">
        <f t="shared" si="10"/>
        <v>0</v>
      </c>
      <c r="I67" s="212">
        <f t="shared" si="10"/>
        <v>0</v>
      </c>
    </row>
    <row r="68" spans="1:9" x14ac:dyDescent="0.15">
      <c r="A68" s="149"/>
      <c r="C68" s="115" t="s">
        <v>725</v>
      </c>
      <c r="D68" s="159"/>
      <c r="E68" s="159"/>
      <c r="F68" s="159"/>
      <c r="G68" s="159"/>
      <c r="H68"/>
      <c r="I68" s="6"/>
    </row>
    <row r="69" spans="1:9" ht="11.25" thickBot="1" x14ac:dyDescent="0.2">
      <c r="A69" s="149"/>
      <c r="C69" s="115"/>
      <c r="D69" s="159"/>
      <c r="E69" s="159"/>
      <c r="F69" s="159"/>
      <c r="G69" s="159"/>
      <c r="H69"/>
      <c r="I69" s="6"/>
    </row>
    <row r="70" spans="1:9" ht="12" thickTop="1" thickBot="1" x14ac:dyDescent="0.2">
      <c r="C70" s="172" t="s">
        <v>726</v>
      </c>
      <c r="D70" s="173">
        <f t="shared" ref="D70:I70" si="11">D19</f>
        <v>0</v>
      </c>
      <c r="E70" s="173">
        <f t="shared" si="11"/>
        <v>0</v>
      </c>
      <c r="F70" s="173">
        <f t="shared" si="11"/>
        <v>0</v>
      </c>
      <c r="G70" s="173">
        <f t="shared" si="11"/>
        <v>0</v>
      </c>
      <c r="H70" s="173">
        <f t="shared" si="11"/>
        <v>0</v>
      </c>
      <c r="I70" s="173">
        <f t="shared" si="11"/>
        <v>0</v>
      </c>
    </row>
    <row r="71" spans="1:9" ht="11.25" thickTop="1" x14ac:dyDescent="0.15">
      <c r="D71" s="158"/>
      <c r="H71"/>
      <c r="I71" s="6"/>
    </row>
    <row r="72" spans="1:9" x14ac:dyDescent="0.15">
      <c r="C72" s="172" t="s">
        <v>727</v>
      </c>
      <c r="D72" s="158">
        <f t="shared" ref="D72:I72" si="12">D67-D70</f>
        <v>0</v>
      </c>
      <c r="E72" s="158">
        <f t="shared" si="12"/>
        <v>0</v>
      </c>
      <c r="F72" s="158">
        <f t="shared" si="12"/>
        <v>0</v>
      </c>
      <c r="G72" s="158">
        <f t="shared" si="12"/>
        <v>0</v>
      </c>
      <c r="H72" s="158">
        <f t="shared" si="12"/>
        <v>0</v>
      </c>
      <c r="I72" s="167">
        <f t="shared" si="12"/>
        <v>0</v>
      </c>
    </row>
    <row r="73" spans="1:9" x14ac:dyDescent="0.15">
      <c r="I73" s="167"/>
    </row>
    <row r="74" spans="1:9" x14ac:dyDescent="0.15">
      <c r="I74" s="167"/>
    </row>
  </sheetData>
  <sheetProtection password="CB03" sheet="1" formatCells="0" formatColumns="0" formatRows="0"/>
  <mergeCells count="1">
    <mergeCell ref="A67:C67"/>
  </mergeCells>
  <phoneticPr fontId="15" type="noConversion"/>
  <pageMargins left="0.5" right="0.5" top="0.75" bottom="0.75" header="0.5" footer="0.5"/>
  <pageSetup scale="64" firstPageNumber="34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5"/>
  <sheetViews>
    <sheetView topLeftCell="A37" workbookViewId="0">
      <selection activeCell="D4" sqref="D4"/>
    </sheetView>
  </sheetViews>
  <sheetFormatPr defaultRowHeight="10.5" x14ac:dyDescent="0.15"/>
  <cols>
    <col min="1" max="1" width="10" style="158" customWidth="1"/>
    <col min="2" max="2" width="4" style="158" customWidth="1"/>
    <col min="3" max="3" width="70.83203125" style="158" customWidth="1"/>
    <col min="4" max="4" width="15.83203125" style="158" customWidth="1"/>
    <col min="5" max="5" width="17" style="158" customWidth="1"/>
    <col min="6" max="6" width="17.33203125" style="158" customWidth="1"/>
    <col min="7" max="7" width="15.83203125" style="158" customWidth="1"/>
    <col min="8" max="8" width="16.33203125" style="158" customWidth="1"/>
    <col min="9" max="9" width="16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F1" s="119"/>
      <c r="G1" s="38" t="s">
        <v>1588</v>
      </c>
    </row>
    <row r="2" spans="1:9" x14ac:dyDescent="0.15">
      <c r="A2" s="15" t="s">
        <v>346</v>
      </c>
    </row>
    <row r="3" spans="1:9" ht="42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G6+H6</f>
        <v>0</v>
      </c>
    </row>
    <row r="7" spans="1:9" x14ac:dyDescent="0.15">
      <c r="A7" s="36" t="s">
        <v>1592</v>
      </c>
      <c r="C7" s="210" t="s">
        <v>196</v>
      </c>
      <c r="D7" s="159"/>
      <c r="E7" s="159"/>
      <c r="F7" s="159"/>
      <c r="I7" s="167"/>
    </row>
    <row r="8" spans="1:9" x14ac:dyDescent="0.15">
      <c r="A8" s="115" t="s">
        <v>1595</v>
      </c>
      <c r="B8" s="174" t="s">
        <v>1159</v>
      </c>
      <c r="C8" s="115" t="s">
        <v>256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 t="shared" ref="I8:I18" si="0">G8+H8</f>
        <v>0</v>
      </c>
    </row>
    <row r="9" spans="1:9" x14ac:dyDescent="0.15">
      <c r="A9" s="115" t="s">
        <v>1596</v>
      </c>
      <c r="B9" s="174" t="s">
        <v>1160</v>
      </c>
      <c r="C9" s="115" t="s">
        <v>257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si="0"/>
        <v>0</v>
      </c>
    </row>
    <row r="10" spans="1:9" x14ac:dyDescent="0.15">
      <c r="A10" s="115" t="s">
        <v>1598</v>
      </c>
      <c r="B10" s="174" t="s">
        <v>1161</v>
      </c>
      <c r="C10" s="115" t="s">
        <v>1235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1601</v>
      </c>
      <c r="B11" s="174" t="s">
        <v>1228</v>
      </c>
      <c r="C11" s="115" t="s">
        <v>442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15" t="s">
        <v>1234</v>
      </c>
      <c r="B12" s="174" t="s">
        <v>1229</v>
      </c>
      <c r="C12" s="115" t="s">
        <v>1236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52" t="s">
        <v>524</v>
      </c>
      <c r="B13" s="174" t="s">
        <v>1230</v>
      </c>
      <c r="C13" s="115" t="s">
        <v>1237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52" t="s">
        <v>526</v>
      </c>
      <c r="B14" s="174" t="s">
        <v>1231</v>
      </c>
      <c r="C14" s="115" t="s">
        <v>527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15" t="s">
        <v>1602</v>
      </c>
      <c r="B15" s="174" t="s">
        <v>1232</v>
      </c>
      <c r="C15" s="115" t="s">
        <v>443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115" t="s">
        <v>102</v>
      </c>
      <c r="B16" s="174" t="s">
        <v>1240</v>
      </c>
      <c r="C16" s="115" t="s">
        <v>1238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x14ac:dyDescent="0.15">
      <c r="A17" s="115" t="s">
        <v>105</v>
      </c>
      <c r="B17" s="174" t="s">
        <v>1244</v>
      </c>
      <c r="C17" s="2" t="s">
        <v>1136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9" x14ac:dyDescent="0.15">
      <c r="B18" s="174" t="s">
        <v>1245</v>
      </c>
      <c r="C18" s="115" t="s">
        <v>1239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564">
        <f t="shared" si="0"/>
        <v>0</v>
      </c>
    </row>
    <row r="19" spans="1:9" ht="11.25" thickBot="1" x14ac:dyDescent="0.2">
      <c r="B19" s="174"/>
      <c r="C19" s="115"/>
      <c r="D19" s="14"/>
      <c r="E19" s="14"/>
      <c r="F19" s="14"/>
      <c r="G19" s="14"/>
      <c r="I19" s="167"/>
    </row>
    <row r="20" spans="1:9" ht="12" thickTop="1" thickBot="1" x14ac:dyDescent="0.2">
      <c r="B20" s="174" t="s">
        <v>1241</v>
      </c>
      <c r="C20" s="35" t="s">
        <v>1243</v>
      </c>
      <c r="D20" s="169">
        <f t="shared" ref="D20:I20" si="1">SUM(D8:D18)</f>
        <v>0</v>
      </c>
      <c r="E20" s="169">
        <f t="shared" si="1"/>
        <v>0</v>
      </c>
      <c r="F20" s="169">
        <f t="shared" si="1"/>
        <v>0</v>
      </c>
      <c r="G20" s="169">
        <f t="shared" si="1"/>
        <v>0</v>
      </c>
      <c r="H20" s="169">
        <f t="shared" si="1"/>
        <v>0</v>
      </c>
      <c r="I20" s="169">
        <f t="shared" si="1"/>
        <v>0</v>
      </c>
    </row>
    <row r="21" spans="1:9" ht="12" thickTop="1" thickBot="1" x14ac:dyDescent="0.2">
      <c r="C21" s="115"/>
      <c r="D21" s="159"/>
      <c r="E21" s="170"/>
      <c r="F21" s="159"/>
      <c r="I21" s="167"/>
    </row>
    <row r="22" spans="1:9" ht="11.25" thickBot="1" x14ac:dyDescent="0.2">
      <c r="A22" s="35" t="s">
        <v>1512</v>
      </c>
      <c r="D22" s="171">
        <f t="shared" ref="D22:I22" si="2">D6+D20</f>
        <v>0</v>
      </c>
      <c r="E22" s="171">
        <f t="shared" si="2"/>
        <v>0</v>
      </c>
      <c r="F22" s="171">
        <f t="shared" si="2"/>
        <v>0</v>
      </c>
      <c r="G22" s="171">
        <f t="shared" si="2"/>
        <v>0</v>
      </c>
      <c r="H22" s="171">
        <f t="shared" si="2"/>
        <v>0</v>
      </c>
      <c r="I22" s="171">
        <f t="shared" si="2"/>
        <v>0</v>
      </c>
    </row>
    <row r="23" spans="1:9" x14ac:dyDescent="0.15">
      <c r="D23" s="159"/>
      <c r="E23" s="159"/>
      <c r="F23" s="159"/>
      <c r="I23" s="167"/>
    </row>
    <row r="24" spans="1:9" x14ac:dyDescent="0.15">
      <c r="A24" s="36" t="s">
        <v>198</v>
      </c>
      <c r="C24" s="210" t="s">
        <v>199</v>
      </c>
      <c r="D24" s="159"/>
      <c r="E24" s="159"/>
      <c r="F24" s="159"/>
      <c r="I24" s="167"/>
    </row>
    <row r="25" spans="1:9" x14ac:dyDescent="0.15">
      <c r="A25" s="152" t="s">
        <v>1577</v>
      </c>
      <c r="B25" s="160" t="s">
        <v>1242</v>
      </c>
      <c r="C25" s="312" t="s">
        <v>228</v>
      </c>
      <c r="D25" s="41">
        <v>0</v>
      </c>
      <c r="E25" s="41">
        <v>0</v>
      </c>
      <c r="F25" s="41">
        <v>0</v>
      </c>
      <c r="G25" s="529">
        <f t="array" ref="G25">SUM(IF(CertFund&amp;CertObj=RIGHT(LEFT($A$2,7),2)&amp;A25,CertSalary))</f>
        <v>0</v>
      </c>
      <c r="H25" s="41">
        <v>0</v>
      </c>
      <c r="I25" s="564">
        <f>G25+H25</f>
        <v>0</v>
      </c>
    </row>
    <row r="26" spans="1:9" x14ac:dyDescent="0.15">
      <c r="A26" s="115" t="s">
        <v>423</v>
      </c>
      <c r="B26" s="160" t="s">
        <v>1242</v>
      </c>
      <c r="C26" s="312" t="s">
        <v>510</v>
      </c>
      <c r="D26" s="41">
        <v>0</v>
      </c>
      <c r="E26" s="41">
        <v>0</v>
      </c>
      <c r="F26" s="41">
        <v>0</v>
      </c>
      <c r="G26" s="316">
        <v>0</v>
      </c>
      <c r="H26" s="41">
        <v>0</v>
      </c>
      <c r="I26" s="564">
        <f t="shared" ref="I26:I36" si="3">G26+H26</f>
        <v>0</v>
      </c>
    </row>
    <row r="27" spans="1:9" x14ac:dyDescent="0.15">
      <c r="A27" s="152" t="s">
        <v>1578</v>
      </c>
      <c r="B27" s="174" t="s">
        <v>1247</v>
      </c>
      <c r="C27" s="312" t="s">
        <v>234</v>
      </c>
      <c r="D27" s="41">
        <v>0</v>
      </c>
      <c r="E27" s="41">
        <v>0</v>
      </c>
      <c r="F27" s="41">
        <v>0</v>
      </c>
      <c r="G27" s="529">
        <f t="array" ref="G27">SUM(IF(CertFund&amp;CertObj=RIGHT(LEFT($A$2,7),2)&amp;A25,CertBen))</f>
        <v>0</v>
      </c>
      <c r="H27" s="41">
        <v>0</v>
      </c>
      <c r="I27" s="564">
        <f>G27+H27</f>
        <v>0</v>
      </c>
    </row>
    <row r="28" spans="1:9" x14ac:dyDescent="0.15">
      <c r="A28" s="115" t="s">
        <v>424</v>
      </c>
      <c r="B28" s="174" t="s">
        <v>1247</v>
      </c>
      <c r="C28" s="312" t="s">
        <v>511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3"/>
        <v>0</v>
      </c>
    </row>
    <row r="29" spans="1:9" x14ac:dyDescent="0.15">
      <c r="A29" s="115" t="s">
        <v>425</v>
      </c>
      <c r="B29" s="174" t="s">
        <v>1248</v>
      </c>
      <c r="C29" s="115" t="s">
        <v>1246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3"/>
        <v>0</v>
      </c>
    </row>
    <row r="30" spans="1:9" x14ac:dyDescent="0.15">
      <c r="A30" s="115" t="s">
        <v>426</v>
      </c>
      <c r="B30" s="174" t="s">
        <v>1249</v>
      </c>
      <c r="C30" s="115" t="s">
        <v>119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3"/>
        <v>0</v>
      </c>
    </row>
    <row r="31" spans="1:9" x14ac:dyDescent="0.15">
      <c r="A31" s="115" t="s">
        <v>427</v>
      </c>
      <c r="B31" s="174" t="s">
        <v>1250</v>
      </c>
      <c r="C31" s="115" t="s">
        <v>124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3"/>
        <v>0</v>
      </c>
    </row>
    <row r="32" spans="1:9" x14ac:dyDescent="0.15">
      <c r="A32" s="115" t="s">
        <v>428</v>
      </c>
      <c r="B32" s="174" t="s">
        <v>1251</v>
      </c>
      <c r="C32" s="115" t="s">
        <v>156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 t="shared" si="3"/>
        <v>0</v>
      </c>
    </row>
    <row r="33" spans="1:9" x14ac:dyDescent="0.15">
      <c r="A33" s="108" t="s">
        <v>81</v>
      </c>
      <c r="B33" s="174" t="s">
        <v>1252</v>
      </c>
      <c r="C33" s="1" t="s">
        <v>82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si="3"/>
        <v>0</v>
      </c>
    </row>
    <row r="34" spans="1:9" x14ac:dyDescent="0.15">
      <c r="A34" s="108" t="s">
        <v>202</v>
      </c>
      <c r="B34" s="174" t="s">
        <v>1253</v>
      </c>
      <c r="C34" s="1" t="s">
        <v>171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564">
        <f t="shared" si="3"/>
        <v>0</v>
      </c>
    </row>
    <row r="35" spans="1:9" x14ac:dyDescent="0.15">
      <c r="A35" s="652" t="s">
        <v>631</v>
      </c>
      <c r="B35" s="655" t="s">
        <v>1254</v>
      </c>
      <c r="C35" s="653" t="s">
        <v>173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 t="shared" si="3"/>
        <v>0</v>
      </c>
    </row>
    <row r="36" spans="1:9" x14ac:dyDescent="0.15">
      <c r="A36" s="115" t="s">
        <v>1259</v>
      </c>
      <c r="B36" s="174" t="s">
        <v>1255</v>
      </c>
      <c r="C36" s="115" t="s">
        <v>1572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si="3"/>
        <v>0</v>
      </c>
    </row>
    <row r="37" spans="1:9" ht="11.25" thickBot="1" x14ac:dyDescent="0.2">
      <c r="A37" s="115"/>
      <c r="C37" s="115"/>
      <c r="D37" s="14"/>
      <c r="E37" s="159"/>
      <c r="F37" s="159"/>
      <c r="I37" s="167"/>
    </row>
    <row r="38" spans="1:9" ht="12" thickTop="1" thickBot="1" x14ac:dyDescent="0.2">
      <c r="B38" s="174" t="s">
        <v>1260</v>
      </c>
      <c r="C38" s="35" t="s">
        <v>1036</v>
      </c>
      <c r="D38" s="173">
        <f t="shared" ref="D38:I38" si="4">SUM(D25:D36)</f>
        <v>0</v>
      </c>
      <c r="E38" s="173">
        <f t="shared" si="4"/>
        <v>0</v>
      </c>
      <c r="F38" s="173">
        <f t="shared" si="4"/>
        <v>0</v>
      </c>
      <c r="G38" s="173">
        <f t="shared" si="4"/>
        <v>0</v>
      </c>
      <c r="H38" s="173">
        <f t="shared" si="4"/>
        <v>0</v>
      </c>
      <c r="I38" s="173">
        <f t="shared" si="4"/>
        <v>0</v>
      </c>
    </row>
    <row r="39" spans="1:9" ht="11.25" thickTop="1" x14ac:dyDescent="0.15">
      <c r="D39" s="159"/>
      <c r="E39" s="159"/>
      <c r="F39" s="159"/>
      <c r="I39" s="167"/>
    </row>
    <row r="40" spans="1:9" x14ac:dyDescent="0.15">
      <c r="A40" s="155" t="s">
        <v>110</v>
      </c>
      <c r="C40" s="210" t="s">
        <v>737</v>
      </c>
      <c r="D40" s="159"/>
      <c r="E40" s="159"/>
      <c r="F40" s="159"/>
      <c r="G40" s="159"/>
      <c r="I40" s="167"/>
    </row>
    <row r="41" spans="1:9" x14ac:dyDescent="0.15">
      <c r="A41" s="154" t="s">
        <v>1522</v>
      </c>
      <c r="B41" s="160" t="s">
        <v>1261</v>
      </c>
      <c r="C41" s="115" t="s">
        <v>1516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>G41+H41</f>
        <v>0</v>
      </c>
    </row>
    <row r="42" spans="1:9" x14ac:dyDescent="0.15">
      <c r="A42" s="154" t="s">
        <v>1523</v>
      </c>
      <c r="B42" s="160" t="s">
        <v>1262</v>
      </c>
      <c r="C42" s="115" t="s">
        <v>1517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>G42+H42</f>
        <v>0</v>
      </c>
    </row>
    <row r="43" spans="1:9" x14ac:dyDescent="0.15">
      <c r="A43" s="154" t="s">
        <v>1524</v>
      </c>
      <c r="B43" s="160" t="s">
        <v>1263</v>
      </c>
      <c r="C43" s="115" t="s">
        <v>1518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>G43+H43</f>
        <v>0</v>
      </c>
    </row>
    <row r="44" spans="1:9" ht="11.25" customHeight="1" x14ac:dyDescent="0.15">
      <c r="A44" s="725" t="s">
        <v>1675</v>
      </c>
      <c r="B44" s="726" t="s">
        <v>1265</v>
      </c>
      <c r="C44" s="692" t="s">
        <v>1676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564">
        <f>G44+H44</f>
        <v>0</v>
      </c>
    </row>
    <row r="45" spans="1:9" ht="11.25" thickBot="1" x14ac:dyDescent="0.2">
      <c r="A45" s="154" t="s">
        <v>1526</v>
      </c>
      <c r="B45" s="160" t="s">
        <v>1266</v>
      </c>
      <c r="C45" s="115" t="s">
        <v>1520</v>
      </c>
      <c r="D45" s="150">
        <v>0</v>
      </c>
      <c r="E45" s="150">
        <v>0</v>
      </c>
      <c r="F45" s="150">
        <v>0</v>
      </c>
      <c r="G45" s="150">
        <v>0</v>
      </c>
      <c r="H45" s="41">
        <v>0</v>
      </c>
      <c r="I45" s="564">
        <f>G45+H45</f>
        <v>0</v>
      </c>
    </row>
    <row r="46" spans="1:9" ht="12" thickTop="1" thickBot="1" x14ac:dyDescent="0.2">
      <c r="A46" s="149"/>
      <c r="B46" s="160" t="s">
        <v>1267</v>
      </c>
      <c r="C46" s="115" t="s">
        <v>1128</v>
      </c>
      <c r="D46" s="151">
        <f t="shared" ref="D46:I46" si="5">SUM(D41:D45)</f>
        <v>0</v>
      </c>
      <c r="E46" s="151">
        <f t="shared" si="5"/>
        <v>0</v>
      </c>
      <c r="F46" s="151">
        <f t="shared" si="5"/>
        <v>0</v>
      </c>
      <c r="G46" s="151">
        <f t="shared" si="5"/>
        <v>0</v>
      </c>
      <c r="H46" s="151">
        <f t="shared" si="5"/>
        <v>0</v>
      </c>
      <c r="I46" s="169">
        <f t="shared" si="5"/>
        <v>0</v>
      </c>
    </row>
    <row r="47" spans="1:9" ht="12" thickTop="1" thickBot="1" x14ac:dyDescent="0.2">
      <c r="A47" s="149"/>
      <c r="B47" s="160"/>
      <c r="C47" s="115"/>
      <c r="D47" s="159"/>
      <c r="E47" s="159"/>
      <c r="F47" s="159"/>
      <c r="G47" s="159"/>
      <c r="I47" s="167"/>
    </row>
    <row r="48" spans="1:9" ht="11.25" thickBot="1" x14ac:dyDescent="0.2">
      <c r="A48" s="776" t="s">
        <v>1038</v>
      </c>
      <c r="B48" s="776"/>
      <c r="C48" s="777"/>
      <c r="D48" s="212">
        <f t="shared" ref="D48:I48" si="6">D38+D46</f>
        <v>0</v>
      </c>
      <c r="E48" s="212">
        <f t="shared" si="6"/>
        <v>0</v>
      </c>
      <c r="F48" s="212">
        <f t="shared" si="6"/>
        <v>0</v>
      </c>
      <c r="G48" s="212">
        <f t="shared" si="6"/>
        <v>0</v>
      </c>
      <c r="H48" s="212">
        <f t="shared" si="6"/>
        <v>0</v>
      </c>
      <c r="I48" s="212">
        <f t="shared" si="6"/>
        <v>0</v>
      </c>
    </row>
    <row r="49" spans="1:9" x14ac:dyDescent="0.15">
      <c r="A49" s="149"/>
      <c r="C49" s="115" t="s">
        <v>725</v>
      </c>
      <c r="D49" s="159"/>
      <c r="E49" s="159"/>
      <c r="F49" s="159"/>
      <c r="G49" s="159"/>
      <c r="I49" s="167"/>
    </row>
    <row r="50" spans="1:9" ht="11.25" thickBot="1" x14ac:dyDescent="0.2">
      <c r="A50" s="149"/>
      <c r="C50" s="115"/>
      <c r="D50" s="159"/>
      <c r="E50" s="159"/>
      <c r="F50" s="159"/>
      <c r="G50" s="159"/>
      <c r="I50" s="167"/>
    </row>
    <row r="51" spans="1:9" ht="12" thickTop="1" thickBot="1" x14ac:dyDescent="0.2">
      <c r="C51" s="172" t="s">
        <v>726</v>
      </c>
      <c r="D51" s="173">
        <f t="shared" ref="D51:I51" si="7">D22</f>
        <v>0</v>
      </c>
      <c r="E51" s="173">
        <f t="shared" si="7"/>
        <v>0</v>
      </c>
      <c r="F51" s="173">
        <f t="shared" si="7"/>
        <v>0</v>
      </c>
      <c r="G51" s="173">
        <f t="shared" si="7"/>
        <v>0</v>
      </c>
      <c r="H51" s="173">
        <f t="shared" si="7"/>
        <v>0</v>
      </c>
      <c r="I51" s="173">
        <f t="shared" si="7"/>
        <v>0</v>
      </c>
    </row>
    <row r="52" spans="1:9" ht="11.25" thickTop="1" x14ac:dyDescent="0.15">
      <c r="I52" s="167"/>
    </row>
    <row r="53" spans="1:9" x14ac:dyDescent="0.15">
      <c r="C53" s="172" t="s">
        <v>727</v>
      </c>
      <c r="D53" s="158">
        <f t="shared" ref="D53:I53" si="8">D48-D51</f>
        <v>0</v>
      </c>
      <c r="E53" s="158">
        <f t="shared" si="8"/>
        <v>0</v>
      </c>
      <c r="F53" s="158">
        <f t="shared" si="8"/>
        <v>0</v>
      </c>
      <c r="G53" s="158">
        <f t="shared" si="8"/>
        <v>0</v>
      </c>
      <c r="H53" s="158">
        <f t="shared" si="8"/>
        <v>0</v>
      </c>
      <c r="I53" s="167">
        <f t="shared" si="8"/>
        <v>0</v>
      </c>
    </row>
    <row r="54" spans="1:9" x14ac:dyDescent="0.15">
      <c r="B54" s="3"/>
      <c r="D54" s="3"/>
      <c r="E54" s="8"/>
      <c r="F54" s="8"/>
      <c r="G54" s="159"/>
      <c r="I54" s="167"/>
    </row>
    <row r="55" spans="1:9" x14ac:dyDescent="0.15">
      <c r="A55" s="208" t="s">
        <v>372</v>
      </c>
      <c r="B55" s="3"/>
      <c r="D55" s="3"/>
      <c r="E55" s="8"/>
      <c r="F55" s="8"/>
      <c r="G55" s="159"/>
      <c r="I55" s="167"/>
    </row>
  </sheetData>
  <sheetProtection password="CB03" sheet="1" formatCells="0" formatColumns="0" formatRows="0"/>
  <mergeCells count="1">
    <mergeCell ref="A48:C48"/>
  </mergeCells>
  <phoneticPr fontId="15" type="noConversion"/>
  <pageMargins left="0.5" right="0.5" top="0.75" bottom="0.75" header="0.5" footer="0.5"/>
  <pageSetup scale="66" firstPageNumber="35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31" workbookViewId="0">
      <selection activeCell="D4" sqref="D4"/>
    </sheetView>
  </sheetViews>
  <sheetFormatPr defaultRowHeight="10.5" x14ac:dyDescent="0.15"/>
  <cols>
    <col min="1" max="1" width="10" style="158" customWidth="1"/>
    <col min="2" max="2" width="4" style="158" customWidth="1"/>
    <col min="3" max="3" width="70.83203125" style="158" customWidth="1"/>
    <col min="4" max="4" width="15.83203125" style="158" customWidth="1"/>
    <col min="5" max="5" width="17" style="158" customWidth="1"/>
    <col min="6" max="6" width="17.33203125" style="158" customWidth="1"/>
    <col min="7" max="7" width="15.83203125" style="158" customWidth="1"/>
    <col min="8" max="8" width="16.33203125" style="158" customWidth="1"/>
    <col min="9" max="9" width="16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F1" s="119"/>
      <c r="G1" s="38" t="s">
        <v>1588</v>
      </c>
    </row>
    <row r="2" spans="1:9" x14ac:dyDescent="0.15">
      <c r="A2" s="15" t="s">
        <v>422</v>
      </c>
    </row>
    <row r="3" spans="1:9" ht="42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G6+H6</f>
        <v>0</v>
      </c>
    </row>
    <row r="7" spans="1:9" x14ac:dyDescent="0.15">
      <c r="A7" s="36" t="s">
        <v>1592</v>
      </c>
      <c r="C7" s="210" t="s">
        <v>196</v>
      </c>
      <c r="D7" s="159"/>
      <c r="E7" s="159"/>
      <c r="F7" s="159"/>
      <c r="I7" s="167"/>
    </row>
    <row r="8" spans="1:9" x14ac:dyDescent="0.15">
      <c r="A8" s="115" t="s">
        <v>1595</v>
      </c>
      <c r="B8" s="174" t="s">
        <v>1159</v>
      </c>
      <c r="C8" s="115" t="s">
        <v>256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G8+H8</f>
        <v>0</v>
      </c>
    </row>
    <row r="9" spans="1:9" x14ac:dyDescent="0.15">
      <c r="A9" s="115" t="s">
        <v>1596</v>
      </c>
      <c r="B9" s="174" t="s">
        <v>1160</v>
      </c>
      <c r="C9" s="115" t="s">
        <v>257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18" si="0">G9+H9</f>
        <v>0</v>
      </c>
    </row>
    <row r="10" spans="1:9" x14ac:dyDescent="0.15">
      <c r="A10" s="115" t="s">
        <v>1598</v>
      </c>
      <c r="B10" s="174" t="s">
        <v>1161</v>
      </c>
      <c r="C10" s="115" t="s">
        <v>1235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1601</v>
      </c>
      <c r="B11" s="174" t="s">
        <v>1228</v>
      </c>
      <c r="C11" s="115" t="s">
        <v>442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15" t="s">
        <v>1234</v>
      </c>
      <c r="B12" s="174" t="s">
        <v>1229</v>
      </c>
      <c r="C12" s="115" t="s">
        <v>1236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52" t="s">
        <v>524</v>
      </c>
      <c r="B13" s="174" t="s">
        <v>1230</v>
      </c>
      <c r="C13" s="115" t="s">
        <v>1237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52" t="s">
        <v>526</v>
      </c>
      <c r="B14" s="174" t="s">
        <v>1231</v>
      </c>
      <c r="C14" s="115" t="s">
        <v>527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15" t="s">
        <v>1602</v>
      </c>
      <c r="B15" s="174" t="s">
        <v>1232</v>
      </c>
      <c r="C15" s="115" t="s">
        <v>443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115" t="s">
        <v>102</v>
      </c>
      <c r="B16" s="174" t="s">
        <v>1240</v>
      </c>
      <c r="C16" s="115" t="s">
        <v>1238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x14ac:dyDescent="0.15">
      <c r="A17" s="115" t="s">
        <v>105</v>
      </c>
      <c r="B17" s="174" t="s">
        <v>1244</v>
      </c>
      <c r="C17" s="2" t="s">
        <v>1136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9" x14ac:dyDescent="0.15">
      <c r="B18" s="174" t="s">
        <v>1245</v>
      </c>
      <c r="C18" s="115" t="s">
        <v>1239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564">
        <f t="shared" si="0"/>
        <v>0</v>
      </c>
    </row>
    <row r="19" spans="1:9" ht="11.25" thickBot="1" x14ac:dyDescent="0.2">
      <c r="B19" s="174"/>
      <c r="C19" s="115"/>
      <c r="D19" s="14"/>
      <c r="E19" s="14"/>
      <c r="F19" s="14"/>
      <c r="G19" s="14"/>
      <c r="I19" s="167"/>
    </row>
    <row r="20" spans="1:9" ht="12" thickTop="1" thickBot="1" x14ac:dyDescent="0.2">
      <c r="B20" s="174" t="s">
        <v>1241</v>
      </c>
      <c r="C20" s="35" t="s">
        <v>1243</v>
      </c>
      <c r="D20" s="169">
        <f t="shared" ref="D20:I20" si="1">SUM(D8:D18)</f>
        <v>0</v>
      </c>
      <c r="E20" s="169">
        <f t="shared" si="1"/>
        <v>0</v>
      </c>
      <c r="F20" s="169">
        <f t="shared" si="1"/>
        <v>0</v>
      </c>
      <c r="G20" s="169">
        <f t="shared" si="1"/>
        <v>0</v>
      </c>
      <c r="H20" s="169">
        <f t="shared" si="1"/>
        <v>0</v>
      </c>
      <c r="I20" s="169">
        <f t="shared" si="1"/>
        <v>0</v>
      </c>
    </row>
    <row r="21" spans="1:9" ht="12" thickTop="1" thickBot="1" x14ac:dyDescent="0.2">
      <c r="C21" s="115"/>
      <c r="D21" s="159"/>
      <c r="E21" s="170"/>
      <c r="F21" s="159"/>
      <c r="I21" s="167"/>
    </row>
    <row r="22" spans="1:9" ht="11.25" thickBot="1" x14ac:dyDescent="0.2">
      <c r="A22" s="35" t="s">
        <v>1512</v>
      </c>
      <c r="D22" s="171">
        <f t="shared" ref="D22:I22" si="2">D6+D20</f>
        <v>0</v>
      </c>
      <c r="E22" s="171">
        <f t="shared" si="2"/>
        <v>0</v>
      </c>
      <c r="F22" s="171">
        <f t="shared" si="2"/>
        <v>0</v>
      </c>
      <c r="G22" s="171">
        <f t="shared" si="2"/>
        <v>0</v>
      </c>
      <c r="H22" s="171">
        <f t="shared" si="2"/>
        <v>0</v>
      </c>
      <c r="I22" s="171">
        <f t="shared" si="2"/>
        <v>0</v>
      </c>
    </row>
    <row r="23" spans="1:9" x14ac:dyDescent="0.15">
      <c r="D23" s="159"/>
      <c r="E23" s="159"/>
      <c r="F23" s="159"/>
      <c r="I23" s="167"/>
    </row>
    <row r="24" spans="1:9" x14ac:dyDescent="0.15">
      <c r="D24" s="159"/>
      <c r="E24" s="159"/>
      <c r="F24" s="159"/>
      <c r="I24" s="167"/>
    </row>
    <row r="25" spans="1:9" x14ac:dyDescent="0.15">
      <c r="A25" s="36" t="s">
        <v>198</v>
      </c>
      <c r="C25" s="210" t="s">
        <v>199</v>
      </c>
      <c r="D25" s="159"/>
      <c r="E25" s="159"/>
      <c r="F25" s="159"/>
      <c r="I25" s="167"/>
    </row>
    <row r="26" spans="1:9" x14ac:dyDescent="0.15">
      <c r="A26" s="115" t="s">
        <v>423</v>
      </c>
      <c r="B26" s="160" t="s">
        <v>1242</v>
      </c>
      <c r="C26" s="115" t="s">
        <v>230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ref="I26:I35" si="3">G26+H26</f>
        <v>0</v>
      </c>
    </row>
    <row r="27" spans="1:9" x14ac:dyDescent="0.15">
      <c r="A27" s="115" t="s">
        <v>424</v>
      </c>
      <c r="B27" s="174" t="s">
        <v>1247</v>
      </c>
      <c r="C27" s="115" t="s">
        <v>231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3"/>
        <v>0</v>
      </c>
    </row>
    <row r="28" spans="1:9" x14ac:dyDescent="0.15">
      <c r="A28" s="115" t="s">
        <v>425</v>
      </c>
      <c r="B28" s="174" t="s">
        <v>1248</v>
      </c>
      <c r="C28" s="115" t="s">
        <v>1246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3"/>
        <v>0</v>
      </c>
    </row>
    <row r="29" spans="1:9" x14ac:dyDescent="0.15">
      <c r="A29" s="115" t="s">
        <v>426</v>
      </c>
      <c r="B29" s="174" t="s">
        <v>1249</v>
      </c>
      <c r="C29" s="115" t="s">
        <v>119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3"/>
        <v>0</v>
      </c>
    </row>
    <row r="30" spans="1:9" x14ac:dyDescent="0.15">
      <c r="A30" s="115" t="s">
        <v>427</v>
      </c>
      <c r="B30" s="174" t="s">
        <v>1250</v>
      </c>
      <c r="C30" s="115" t="s">
        <v>124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3"/>
        <v>0</v>
      </c>
    </row>
    <row r="31" spans="1:9" x14ac:dyDescent="0.15">
      <c r="A31" s="115" t="s">
        <v>428</v>
      </c>
      <c r="B31" s="174" t="s">
        <v>1251</v>
      </c>
      <c r="C31" s="115" t="s">
        <v>156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3"/>
        <v>0</v>
      </c>
    </row>
    <row r="32" spans="1:9" x14ac:dyDescent="0.15">
      <c r="A32" s="108" t="s">
        <v>81</v>
      </c>
      <c r="B32" s="174" t="s">
        <v>1252</v>
      </c>
      <c r="C32" s="1" t="s">
        <v>82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 t="shared" si="3"/>
        <v>0</v>
      </c>
    </row>
    <row r="33" spans="1:9" x14ac:dyDescent="0.15">
      <c r="A33" s="108" t="s">
        <v>202</v>
      </c>
      <c r="B33" s="174" t="s">
        <v>1253</v>
      </c>
      <c r="C33" s="1" t="s">
        <v>171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si="3"/>
        <v>0</v>
      </c>
    </row>
    <row r="34" spans="1:9" x14ac:dyDescent="0.15">
      <c r="A34" s="652" t="s">
        <v>631</v>
      </c>
      <c r="B34" s="655" t="s">
        <v>1254</v>
      </c>
      <c r="C34" s="653" t="s">
        <v>173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564">
        <f t="shared" si="3"/>
        <v>0</v>
      </c>
    </row>
    <row r="35" spans="1:9" x14ac:dyDescent="0.15">
      <c r="A35" s="115" t="s">
        <v>1259</v>
      </c>
      <c r="B35" s="174" t="s">
        <v>1255</v>
      </c>
      <c r="C35" s="115" t="s">
        <v>1572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 t="shared" si="3"/>
        <v>0</v>
      </c>
    </row>
    <row r="36" spans="1:9" ht="11.25" thickBot="1" x14ac:dyDescent="0.2">
      <c r="A36" s="115"/>
      <c r="C36" s="115"/>
      <c r="D36" s="14"/>
      <c r="E36" s="159"/>
      <c r="F36" s="159"/>
      <c r="I36" s="167"/>
    </row>
    <row r="37" spans="1:9" ht="12" thickTop="1" thickBot="1" x14ac:dyDescent="0.2">
      <c r="B37" s="174" t="s">
        <v>1260</v>
      </c>
      <c r="C37" s="35" t="s">
        <v>1036</v>
      </c>
      <c r="D37" s="173">
        <f t="shared" ref="D37:I37" si="4">SUM(D26:D35)</f>
        <v>0</v>
      </c>
      <c r="E37" s="173">
        <f t="shared" si="4"/>
        <v>0</v>
      </c>
      <c r="F37" s="173">
        <f t="shared" si="4"/>
        <v>0</v>
      </c>
      <c r="G37" s="173">
        <f t="shared" si="4"/>
        <v>0</v>
      </c>
      <c r="H37" s="173">
        <f t="shared" si="4"/>
        <v>0</v>
      </c>
      <c r="I37" s="173">
        <f t="shared" si="4"/>
        <v>0</v>
      </c>
    </row>
    <row r="38" spans="1:9" ht="11.25" thickTop="1" x14ac:dyDescent="0.15">
      <c r="D38" s="159"/>
      <c r="E38" s="159"/>
      <c r="F38" s="159"/>
      <c r="I38" s="167"/>
    </row>
    <row r="39" spans="1:9" x14ac:dyDescent="0.15">
      <c r="A39" s="155" t="s">
        <v>110</v>
      </c>
      <c r="C39" s="210" t="s">
        <v>737</v>
      </c>
      <c r="D39" s="159"/>
      <c r="E39" s="159"/>
      <c r="F39" s="159"/>
      <c r="G39" s="159"/>
      <c r="I39" s="167"/>
    </row>
    <row r="40" spans="1:9" x14ac:dyDescent="0.15">
      <c r="A40" s="154" t="s">
        <v>1522</v>
      </c>
      <c r="B40" s="160" t="s">
        <v>1261</v>
      </c>
      <c r="C40" s="115" t="s">
        <v>1516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>G40+H40</f>
        <v>0</v>
      </c>
    </row>
    <row r="41" spans="1:9" x14ac:dyDescent="0.15">
      <c r="A41" s="154" t="s">
        <v>1523</v>
      </c>
      <c r="B41" s="160" t="s">
        <v>1262</v>
      </c>
      <c r="C41" s="115" t="s">
        <v>1517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>G41+H41</f>
        <v>0</v>
      </c>
    </row>
    <row r="42" spans="1:9" x14ac:dyDescent="0.15">
      <c r="A42" s="154" t="s">
        <v>1524</v>
      </c>
      <c r="B42" s="160" t="s">
        <v>1263</v>
      </c>
      <c r="C42" s="115" t="s">
        <v>1518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>G42+H42</f>
        <v>0</v>
      </c>
    </row>
    <row r="43" spans="1:9" x14ac:dyDescent="0.15">
      <c r="A43" s="725" t="s">
        <v>1675</v>
      </c>
      <c r="B43" s="726" t="s">
        <v>1265</v>
      </c>
      <c r="C43" s="692" t="s">
        <v>1676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>G43+H43</f>
        <v>0</v>
      </c>
    </row>
    <row r="44" spans="1:9" ht="11.25" thickBot="1" x14ac:dyDescent="0.2">
      <c r="A44" s="154" t="s">
        <v>1526</v>
      </c>
      <c r="B44" s="160" t="s">
        <v>1266</v>
      </c>
      <c r="C44" s="115" t="s">
        <v>1520</v>
      </c>
      <c r="D44" s="150">
        <v>0</v>
      </c>
      <c r="E44" s="150">
        <v>0</v>
      </c>
      <c r="F44" s="150">
        <v>0</v>
      </c>
      <c r="G44" s="150">
        <v>0</v>
      </c>
      <c r="H44" s="41">
        <v>0</v>
      </c>
      <c r="I44" s="564">
        <f>G44+H44</f>
        <v>0</v>
      </c>
    </row>
    <row r="45" spans="1:9" ht="12" thickTop="1" thickBot="1" x14ac:dyDescent="0.2">
      <c r="A45" s="149"/>
      <c r="B45" s="160" t="s">
        <v>1267</v>
      </c>
      <c r="C45" s="115" t="s">
        <v>1128</v>
      </c>
      <c r="D45" s="151">
        <f t="shared" ref="D45:I45" si="5">SUM(D40:D44)</f>
        <v>0</v>
      </c>
      <c r="E45" s="151">
        <f t="shared" si="5"/>
        <v>0</v>
      </c>
      <c r="F45" s="151">
        <f t="shared" si="5"/>
        <v>0</v>
      </c>
      <c r="G45" s="151">
        <f t="shared" si="5"/>
        <v>0</v>
      </c>
      <c r="H45" s="151">
        <f t="shared" si="5"/>
        <v>0</v>
      </c>
      <c r="I45" s="169">
        <f t="shared" si="5"/>
        <v>0</v>
      </c>
    </row>
    <row r="46" spans="1:9" ht="12" thickTop="1" thickBot="1" x14ac:dyDescent="0.2">
      <c r="A46" s="149"/>
      <c r="B46" s="160"/>
      <c r="C46" s="115"/>
      <c r="D46" s="159"/>
      <c r="E46" s="159"/>
      <c r="F46" s="159"/>
      <c r="G46" s="159"/>
      <c r="I46" s="167"/>
    </row>
    <row r="47" spans="1:9" ht="23.25" customHeight="1" thickBot="1" x14ac:dyDescent="0.2">
      <c r="A47" s="776" t="s">
        <v>1038</v>
      </c>
      <c r="B47" s="776"/>
      <c r="C47" s="777"/>
      <c r="D47" s="212">
        <f t="shared" ref="D47:I47" si="6">D37+D45</f>
        <v>0</v>
      </c>
      <c r="E47" s="212">
        <f t="shared" si="6"/>
        <v>0</v>
      </c>
      <c r="F47" s="212">
        <f t="shared" si="6"/>
        <v>0</v>
      </c>
      <c r="G47" s="212">
        <f t="shared" si="6"/>
        <v>0</v>
      </c>
      <c r="H47" s="212">
        <f t="shared" si="6"/>
        <v>0</v>
      </c>
      <c r="I47" s="212">
        <f t="shared" si="6"/>
        <v>0</v>
      </c>
    </row>
    <row r="48" spans="1:9" x14ac:dyDescent="0.15">
      <c r="A48" s="149"/>
      <c r="C48" s="115" t="s">
        <v>725</v>
      </c>
      <c r="D48" s="159"/>
      <c r="E48" s="159"/>
      <c r="F48" s="159"/>
      <c r="G48" s="159"/>
      <c r="I48" s="167"/>
    </row>
    <row r="49" spans="1:9" ht="11.25" thickBot="1" x14ac:dyDescent="0.2">
      <c r="A49" s="149"/>
      <c r="C49" s="115"/>
      <c r="D49" s="159"/>
      <c r="E49" s="159"/>
      <c r="F49" s="159"/>
      <c r="G49" s="159"/>
      <c r="I49" s="167"/>
    </row>
    <row r="50" spans="1:9" ht="12" thickTop="1" thickBot="1" x14ac:dyDescent="0.2">
      <c r="C50" s="172" t="s">
        <v>726</v>
      </c>
      <c r="D50" s="173">
        <f t="shared" ref="D50:I50" si="7">D22</f>
        <v>0</v>
      </c>
      <c r="E50" s="173">
        <f t="shared" si="7"/>
        <v>0</v>
      </c>
      <c r="F50" s="173">
        <f t="shared" si="7"/>
        <v>0</v>
      </c>
      <c r="G50" s="173">
        <f t="shared" si="7"/>
        <v>0</v>
      </c>
      <c r="H50" s="173">
        <f t="shared" si="7"/>
        <v>0</v>
      </c>
      <c r="I50" s="173">
        <f t="shared" si="7"/>
        <v>0</v>
      </c>
    </row>
    <row r="51" spans="1:9" ht="11.25" thickTop="1" x14ac:dyDescent="0.15">
      <c r="I51" s="167"/>
    </row>
    <row r="52" spans="1:9" x14ac:dyDescent="0.15">
      <c r="C52" s="172" t="s">
        <v>727</v>
      </c>
      <c r="D52" s="158">
        <f t="shared" ref="D52:I52" si="8">D47-D50</f>
        <v>0</v>
      </c>
      <c r="E52" s="158">
        <f t="shared" si="8"/>
        <v>0</v>
      </c>
      <c r="F52" s="158">
        <f t="shared" si="8"/>
        <v>0</v>
      </c>
      <c r="G52" s="158">
        <f t="shared" si="8"/>
        <v>0</v>
      </c>
      <c r="H52" s="158">
        <f t="shared" si="8"/>
        <v>0</v>
      </c>
      <c r="I52" s="167">
        <f t="shared" si="8"/>
        <v>0</v>
      </c>
    </row>
    <row r="53" spans="1:9" x14ac:dyDescent="0.15">
      <c r="B53" s="3"/>
      <c r="D53" s="3"/>
      <c r="E53" s="8"/>
      <c r="F53" s="8"/>
      <c r="G53" s="159"/>
      <c r="I53" s="167"/>
    </row>
    <row r="54" spans="1:9" x14ac:dyDescent="0.15">
      <c r="A54" s="208" t="s">
        <v>1137</v>
      </c>
      <c r="B54" s="3"/>
      <c r="D54" s="3"/>
      <c r="E54" s="8"/>
      <c r="F54" s="8"/>
      <c r="G54" s="159"/>
      <c r="I54" s="167"/>
    </row>
  </sheetData>
  <sheetProtection formatCells="0" formatColumns="0" formatRows="0"/>
  <mergeCells count="1">
    <mergeCell ref="A47:C47"/>
  </mergeCells>
  <phoneticPr fontId="15" type="noConversion"/>
  <pageMargins left="0.5" right="0.5" top="0.75" bottom="0.75" header="0.5" footer="0.5"/>
  <pageSetup scale="66" firstPageNumber="35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46" workbookViewId="0">
      <selection activeCell="D4" sqref="D4"/>
    </sheetView>
  </sheetViews>
  <sheetFormatPr defaultRowHeight="10.5" x14ac:dyDescent="0.15"/>
  <cols>
    <col min="1" max="1" width="18.6640625" style="158" customWidth="1"/>
    <col min="2" max="2" width="4.1640625" style="158" customWidth="1"/>
    <col min="3" max="3" width="70.83203125" style="158" customWidth="1"/>
    <col min="4" max="4" width="15.83203125" style="158" customWidth="1"/>
    <col min="5" max="5" width="16.83203125" style="158" customWidth="1"/>
    <col min="6" max="6" width="17.1640625" style="158" customWidth="1"/>
    <col min="7" max="7" width="15.83203125" style="158" customWidth="1"/>
    <col min="8" max="8" width="16.83203125" style="158" customWidth="1"/>
    <col min="9" max="9" width="15.33203125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G1" s="38" t="s">
        <v>1588</v>
      </c>
    </row>
    <row r="2" spans="1:9" x14ac:dyDescent="0.15">
      <c r="A2" s="15" t="s">
        <v>430</v>
      </c>
    </row>
    <row r="3" spans="1:9" ht="31.5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x14ac:dyDescent="0.15">
      <c r="D5" s="166"/>
      <c r="E5" s="166"/>
      <c r="F5" s="166"/>
      <c r="G5" s="166"/>
    </row>
    <row r="6" spans="1:9" ht="11.25" thickBot="1" x14ac:dyDescent="0.2">
      <c r="D6" s="166"/>
      <c r="E6" s="166"/>
      <c r="F6" s="166"/>
      <c r="G6" s="166"/>
      <c r="I6" s="167"/>
    </row>
    <row r="7" spans="1:9" ht="11.25" thickBot="1" x14ac:dyDescent="0.2">
      <c r="A7" s="35" t="s">
        <v>195</v>
      </c>
      <c r="B7" s="35" t="s">
        <v>1589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171">
        <f>G7+H7</f>
        <v>0</v>
      </c>
    </row>
    <row r="8" spans="1:9" x14ac:dyDescent="0.15">
      <c r="A8" s="36" t="s">
        <v>1592</v>
      </c>
      <c r="C8" s="210" t="s">
        <v>196</v>
      </c>
      <c r="E8" s="159"/>
      <c r="F8" s="159"/>
      <c r="G8" s="159"/>
      <c r="I8" s="167"/>
    </row>
    <row r="9" spans="1:9" x14ac:dyDescent="0.15">
      <c r="A9" s="115" t="s">
        <v>438</v>
      </c>
      <c r="B9" s="160" t="s">
        <v>1159</v>
      </c>
      <c r="C9" s="115" t="s">
        <v>1256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14" si="0">G9+H9</f>
        <v>0</v>
      </c>
    </row>
    <row r="10" spans="1:9" x14ac:dyDescent="0.15">
      <c r="A10" s="115" t="s">
        <v>1602</v>
      </c>
      <c r="B10" s="160" t="s">
        <v>1160</v>
      </c>
      <c r="C10" s="115" t="s">
        <v>443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439</v>
      </c>
      <c r="B11" s="160" t="s">
        <v>1161</v>
      </c>
      <c r="C11" s="115" t="s">
        <v>1257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15" t="s">
        <v>440</v>
      </c>
      <c r="B12" s="160" t="s">
        <v>1228</v>
      </c>
      <c r="C12" s="115" t="s">
        <v>1258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15" t="s">
        <v>105</v>
      </c>
      <c r="B13" s="160" t="s">
        <v>1229</v>
      </c>
      <c r="C13" s="2" t="s">
        <v>854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52"/>
      <c r="B14" s="174" t="s">
        <v>1230</v>
      </c>
      <c r="C14" s="138" t="s">
        <v>212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ht="11.25" thickBot="1" x14ac:dyDescent="0.2">
      <c r="A15" s="115"/>
      <c r="B15" s="167"/>
      <c r="C15" s="2"/>
      <c r="E15" s="14"/>
      <c r="F15" s="159"/>
      <c r="G15" s="159"/>
      <c r="I15" s="167"/>
    </row>
    <row r="16" spans="1:9" ht="12" thickTop="1" thickBot="1" x14ac:dyDescent="0.2">
      <c r="B16" s="174" t="s">
        <v>1231</v>
      </c>
      <c r="C16" s="35" t="s">
        <v>213</v>
      </c>
      <c r="D16" s="169">
        <f t="shared" ref="D16:I16" si="1">SUM(D9:D14)</f>
        <v>0</v>
      </c>
      <c r="E16" s="169">
        <f t="shared" si="1"/>
        <v>0</v>
      </c>
      <c r="F16" s="169">
        <f t="shared" si="1"/>
        <v>0</v>
      </c>
      <c r="G16" s="169">
        <f t="shared" si="1"/>
        <v>0</v>
      </c>
      <c r="H16" s="169">
        <f t="shared" si="1"/>
        <v>0</v>
      </c>
      <c r="I16" s="169">
        <f t="shared" si="1"/>
        <v>0</v>
      </c>
    </row>
    <row r="17" spans="1:9" ht="12" thickTop="1" thickBot="1" x14ac:dyDescent="0.2">
      <c r="C17" s="115"/>
      <c r="I17" s="167"/>
    </row>
    <row r="18" spans="1:9" ht="11.25" thickBot="1" x14ac:dyDescent="0.2">
      <c r="A18" s="35" t="s">
        <v>214</v>
      </c>
      <c r="D18" s="171">
        <f t="shared" ref="D18:I18" si="2">D7+D16</f>
        <v>0</v>
      </c>
      <c r="E18" s="171">
        <f t="shared" si="2"/>
        <v>0</v>
      </c>
      <c r="F18" s="171">
        <f t="shared" si="2"/>
        <v>0</v>
      </c>
      <c r="G18" s="171">
        <f t="shared" si="2"/>
        <v>0</v>
      </c>
      <c r="H18" s="171">
        <f t="shared" si="2"/>
        <v>0</v>
      </c>
      <c r="I18" s="171">
        <f t="shared" si="2"/>
        <v>0</v>
      </c>
    </row>
    <row r="19" spans="1:9" x14ac:dyDescent="0.15">
      <c r="E19" s="159"/>
      <c r="F19" s="159"/>
      <c r="G19" s="159"/>
      <c r="I19" s="167"/>
    </row>
    <row r="20" spans="1:9" x14ac:dyDescent="0.15">
      <c r="A20" s="660" t="s">
        <v>824</v>
      </c>
      <c r="B20" s="424"/>
      <c r="C20" s="495" t="s">
        <v>816</v>
      </c>
      <c r="D20" s="423"/>
      <c r="E20" s="423"/>
      <c r="F20" s="423"/>
      <c r="G20" s="423"/>
      <c r="H20" s="423"/>
      <c r="I20" s="179"/>
    </row>
    <row r="21" spans="1:9" x14ac:dyDescent="0.15">
      <c r="A21" s="436" t="s">
        <v>105</v>
      </c>
      <c r="B21" s="501" t="s">
        <v>1437</v>
      </c>
      <c r="C21" s="2" t="s">
        <v>827</v>
      </c>
      <c r="D21" s="41">
        <v>0</v>
      </c>
      <c r="E21" s="41">
        <v>0</v>
      </c>
      <c r="F21" s="41">
        <v>0</v>
      </c>
      <c r="G21" s="41">
        <v>0</v>
      </c>
      <c r="H21" s="534">
        <v>0</v>
      </c>
      <c r="I21" s="535">
        <f>SUM(G21+H21)</f>
        <v>0</v>
      </c>
    </row>
    <row r="22" spans="1:9" x14ac:dyDescent="0.15">
      <c r="A22" s="436"/>
      <c r="B22" s="501"/>
      <c r="C22" s="2"/>
      <c r="D22" s="14"/>
      <c r="E22" s="14"/>
      <c r="F22" s="14"/>
      <c r="G22" s="14"/>
      <c r="H22" s="308"/>
      <c r="I22" s="305"/>
    </row>
    <row r="23" spans="1:9" x14ac:dyDescent="0.15">
      <c r="A23" s="490"/>
      <c r="B23" s="424"/>
      <c r="C23" s="423"/>
      <c r="D23" s="423"/>
      <c r="E23" s="423"/>
      <c r="F23" s="423"/>
      <c r="G23" s="423"/>
      <c r="H23" s="423"/>
      <c r="I23" s="423"/>
    </row>
    <row r="24" spans="1:9" x14ac:dyDescent="0.15">
      <c r="A24" s="36" t="s">
        <v>198</v>
      </c>
      <c r="C24" s="210" t="s">
        <v>199</v>
      </c>
      <c r="D24" s="159"/>
      <c r="E24" s="159"/>
      <c r="F24" s="159"/>
      <c r="I24" s="167"/>
    </row>
    <row r="25" spans="1:9" x14ac:dyDescent="0.15">
      <c r="A25" s="36"/>
      <c r="C25" s="158" t="s">
        <v>1190</v>
      </c>
      <c r="D25" s="159"/>
      <c r="E25" s="159"/>
      <c r="F25" s="159"/>
      <c r="I25" s="167"/>
    </row>
    <row r="26" spans="1:9" x14ac:dyDescent="0.15">
      <c r="A26" s="115" t="s">
        <v>423</v>
      </c>
      <c r="B26" s="160" t="s">
        <v>1232</v>
      </c>
      <c r="C26" s="115" t="s">
        <v>230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ref="I26:I34" si="3">G26+H26</f>
        <v>0</v>
      </c>
    </row>
    <row r="27" spans="1:9" x14ac:dyDescent="0.15">
      <c r="A27" s="115" t="s">
        <v>424</v>
      </c>
      <c r="B27" s="174" t="s">
        <v>1240</v>
      </c>
      <c r="C27" s="115" t="s">
        <v>231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3"/>
        <v>0</v>
      </c>
    </row>
    <row r="28" spans="1:9" x14ac:dyDescent="0.15">
      <c r="A28" s="115" t="s">
        <v>425</v>
      </c>
      <c r="B28" s="174" t="s">
        <v>1244</v>
      </c>
      <c r="C28" s="115" t="s">
        <v>1246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3"/>
        <v>0</v>
      </c>
    </row>
    <row r="29" spans="1:9" x14ac:dyDescent="0.15">
      <c r="A29" s="115" t="s">
        <v>426</v>
      </c>
      <c r="B29" s="174" t="s">
        <v>1245</v>
      </c>
      <c r="C29" s="115" t="s">
        <v>119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3"/>
        <v>0</v>
      </c>
    </row>
    <row r="30" spans="1:9" x14ac:dyDescent="0.15">
      <c r="A30" s="115" t="s">
        <v>427</v>
      </c>
      <c r="B30" s="174" t="s">
        <v>1241</v>
      </c>
      <c r="C30" s="115" t="s">
        <v>124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3"/>
        <v>0</v>
      </c>
    </row>
    <row r="31" spans="1:9" x14ac:dyDescent="0.15">
      <c r="A31" s="115" t="s">
        <v>428</v>
      </c>
      <c r="B31" s="174" t="s">
        <v>1242</v>
      </c>
      <c r="C31" s="115" t="s">
        <v>156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3"/>
        <v>0</v>
      </c>
    </row>
    <row r="32" spans="1:9" x14ac:dyDescent="0.15">
      <c r="A32" s="108" t="s">
        <v>81</v>
      </c>
      <c r="B32" s="174" t="s">
        <v>1247</v>
      </c>
      <c r="C32" s="1" t="s">
        <v>82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 t="shared" si="3"/>
        <v>0</v>
      </c>
    </row>
    <row r="33" spans="1:9" x14ac:dyDescent="0.15">
      <c r="A33" s="652" t="s">
        <v>631</v>
      </c>
      <c r="B33" s="655" t="s">
        <v>1248</v>
      </c>
      <c r="C33" s="653" t="s">
        <v>173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si="3"/>
        <v>0</v>
      </c>
    </row>
    <row r="34" spans="1:9" x14ac:dyDescent="0.15">
      <c r="A34" s="115" t="s">
        <v>429</v>
      </c>
      <c r="B34" s="174" t="s">
        <v>1249</v>
      </c>
      <c r="C34" s="115" t="s">
        <v>1572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564">
        <f t="shared" si="3"/>
        <v>0</v>
      </c>
    </row>
    <row r="35" spans="1:9" ht="11.25" thickBot="1" x14ac:dyDescent="0.2">
      <c r="A35" s="115"/>
      <c r="C35" s="115"/>
      <c r="D35" s="14"/>
      <c r="E35" s="159"/>
      <c r="F35" s="159"/>
      <c r="I35" s="167"/>
    </row>
    <row r="36" spans="1:9" ht="12" thickTop="1" thickBot="1" x14ac:dyDescent="0.2">
      <c r="B36" s="174" t="s">
        <v>1250</v>
      </c>
      <c r="C36" s="115" t="s">
        <v>1129</v>
      </c>
      <c r="D36" s="169">
        <f t="shared" ref="D36:I36" si="4">SUM(D26:D34)</f>
        <v>0</v>
      </c>
      <c r="E36" s="169">
        <f t="shared" si="4"/>
        <v>0</v>
      </c>
      <c r="F36" s="169">
        <f t="shared" si="4"/>
        <v>0</v>
      </c>
      <c r="G36" s="169">
        <f t="shared" si="4"/>
        <v>0</v>
      </c>
      <c r="H36" s="169">
        <f t="shared" si="4"/>
        <v>0</v>
      </c>
      <c r="I36" s="169">
        <f t="shared" si="4"/>
        <v>0</v>
      </c>
    </row>
    <row r="37" spans="1:9" ht="11.25" thickTop="1" x14ac:dyDescent="0.15">
      <c r="A37" s="36"/>
      <c r="C37" s="40"/>
      <c r="D37" s="159"/>
      <c r="E37" s="159"/>
      <c r="F37" s="159"/>
      <c r="I37" s="167"/>
    </row>
    <row r="38" spans="1:9" x14ac:dyDescent="0.15">
      <c r="A38" s="36"/>
      <c r="C38" s="172" t="s">
        <v>411</v>
      </c>
      <c r="D38" s="159"/>
      <c r="E38" s="159"/>
      <c r="F38" s="159"/>
      <c r="I38" s="167"/>
    </row>
    <row r="39" spans="1:9" x14ac:dyDescent="0.15">
      <c r="A39" s="115" t="s">
        <v>423</v>
      </c>
      <c r="B39" s="160" t="s">
        <v>1251</v>
      </c>
      <c r="C39" s="115" t="s">
        <v>230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ref="I39:I47" si="5">G39+H39</f>
        <v>0</v>
      </c>
    </row>
    <row r="40" spans="1:9" x14ac:dyDescent="0.15">
      <c r="A40" s="115" t="s">
        <v>424</v>
      </c>
      <c r="B40" s="174" t="s">
        <v>1252</v>
      </c>
      <c r="C40" s="115" t="s">
        <v>231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 t="shared" si="5"/>
        <v>0</v>
      </c>
    </row>
    <row r="41" spans="1:9" x14ac:dyDescent="0.15">
      <c r="A41" s="115" t="s">
        <v>425</v>
      </c>
      <c r="B41" s="174" t="s">
        <v>1253</v>
      </c>
      <c r="C41" s="115" t="s">
        <v>1246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5"/>
        <v>0</v>
      </c>
    </row>
    <row r="42" spans="1:9" x14ac:dyDescent="0.15">
      <c r="A42" s="115" t="s">
        <v>426</v>
      </c>
      <c r="B42" s="174" t="s">
        <v>1254</v>
      </c>
      <c r="C42" s="115" t="s">
        <v>119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 t="shared" si="5"/>
        <v>0</v>
      </c>
    </row>
    <row r="43" spans="1:9" x14ac:dyDescent="0.15">
      <c r="A43" s="115" t="s">
        <v>427</v>
      </c>
      <c r="B43" s="174" t="s">
        <v>1255</v>
      </c>
      <c r="C43" s="115" t="s">
        <v>124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 t="shared" si="5"/>
        <v>0</v>
      </c>
    </row>
    <row r="44" spans="1:9" x14ac:dyDescent="0.15">
      <c r="A44" s="115" t="s">
        <v>428</v>
      </c>
      <c r="B44" s="174" t="s">
        <v>1260</v>
      </c>
      <c r="C44" s="115" t="s">
        <v>156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564">
        <f t="shared" si="5"/>
        <v>0</v>
      </c>
    </row>
    <row r="45" spans="1:9" x14ac:dyDescent="0.15">
      <c r="A45" s="108" t="s">
        <v>81</v>
      </c>
      <c r="B45" s="174" t="s">
        <v>1261</v>
      </c>
      <c r="C45" s="1" t="s">
        <v>82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564">
        <f t="shared" si="5"/>
        <v>0</v>
      </c>
    </row>
    <row r="46" spans="1:9" x14ac:dyDescent="0.15">
      <c r="A46" s="652" t="s">
        <v>631</v>
      </c>
      <c r="B46" s="655" t="s">
        <v>1262</v>
      </c>
      <c r="C46" s="653" t="s">
        <v>173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564">
        <f t="shared" si="5"/>
        <v>0</v>
      </c>
    </row>
    <row r="47" spans="1:9" x14ac:dyDescent="0.15">
      <c r="A47" s="115" t="s">
        <v>429</v>
      </c>
      <c r="B47" s="174" t="s">
        <v>1263</v>
      </c>
      <c r="C47" s="115" t="s">
        <v>1572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564">
        <f t="shared" si="5"/>
        <v>0</v>
      </c>
    </row>
    <row r="48" spans="1:9" ht="11.25" thickBot="1" x14ac:dyDescent="0.2">
      <c r="A48" s="115"/>
      <c r="C48" s="115"/>
      <c r="D48" s="14"/>
      <c r="E48" s="159"/>
      <c r="F48" s="159"/>
      <c r="I48" s="167"/>
    </row>
    <row r="49" spans="1:9" ht="12" thickTop="1" thickBot="1" x14ac:dyDescent="0.2">
      <c r="B49" s="174" t="s">
        <v>1265</v>
      </c>
      <c r="C49" s="172" t="s">
        <v>1130</v>
      </c>
      <c r="D49" s="169">
        <f t="shared" ref="D49:I49" si="6">SUM(D39:D47)</f>
        <v>0</v>
      </c>
      <c r="E49" s="169">
        <f t="shared" si="6"/>
        <v>0</v>
      </c>
      <c r="F49" s="169">
        <f t="shared" si="6"/>
        <v>0</v>
      </c>
      <c r="G49" s="169">
        <f t="shared" si="6"/>
        <v>0</v>
      </c>
      <c r="H49" s="169">
        <f t="shared" si="6"/>
        <v>0</v>
      </c>
      <c r="I49" s="169">
        <f t="shared" si="6"/>
        <v>0</v>
      </c>
    </row>
    <row r="50" spans="1:9" ht="11.25" thickTop="1" x14ac:dyDescent="0.15">
      <c r="D50" s="159"/>
      <c r="E50" s="159"/>
      <c r="F50" s="159"/>
      <c r="I50" s="167"/>
    </row>
    <row r="51" spans="1:9" x14ac:dyDescent="0.15">
      <c r="B51" s="174"/>
      <c r="C51" s="115" t="s">
        <v>391</v>
      </c>
      <c r="D51" s="14"/>
      <c r="E51" s="14"/>
      <c r="F51" s="14"/>
      <c r="G51" s="14"/>
      <c r="I51" s="167"/>
    </row>
    <row r="52" spans="1:9" x14ac:dyDescent="0.15">
      <c r="A52" s="160" t="s">
        <v>434</v>
      </c>
      <c r="B52" s="160" t="s">
        <v>1266</v>
      </c>
      <c r="C52" s="115" t="s">
        <v>413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64">
        <f>G52+H52</f>
        <v>0</v>
      </c>
    </row>
    <row r="53" spans="1:9" x14ac:dyDescent="0.15">
      <c r="A53" s="160" t="s">
        <v>433</v>
      </c>
      <c r="B53" s="160" t="s">
        <v>1267</v>
      </c>
      <c r="C53" s="115" t="s">
        <v>414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64">
        <f>G53+H53</f>
        <v>0</v>
      </c>
    </row>
    <row r="54" spans="1:9" x14ac:dyDescent="0.15">
      <c r="A54" s="495" t="s">
        <v>34</v>
      </c>
      <c r="B54" s="511"/>
      <c r="C54" s="138"/>
      <c r="D54" s="161"/>
      <c r="E54" s="161"/>
      <c r="F54" s="161"/>
      <c r="G54" s="161"/>
      <c r="H54" s="291"/>
      <c r="I54" s="671"/>
    </row>
    <row r="55" spans="1:9" x14ac:dyDescent="0.15">
      <c r="A55" s="423"/>
      <c r="B55" s="511"/>
      <c r="C55" s="658" t="s">
        <v>30</v>
      </c>
      <c r="D55" s="529">
        <f t="shared" ref="D55:I55" si="7">+D21</f>
        <v>0</v>
      </c>
      <c r="E55" s="529">
        <f t="shared" si="7"/>
        <v>0</v>
      </c>
      <c r="F55" s="529">
        <f t="shared" si="7"/>
        <v>0</v>
      </c>
      <c r="G55" s="529">
        <f t="shared" si="7"/>
        <v>0</v>
      </c>
      <c r="H55" s="529">
        <f t="shared" si="7"/>
        <v>0</v>
      </c>
      <c r="I55" s="529">
        <f t="shared" si="7"/>
        <v>0</v>
      </c>
    </row>
    <row r="56" spans="1:9" ht="11.25" thickBot="1" x14ac:dyDescent="0.2">
      <c r="C56" s="115"/>
      <c r="D56" s="14"/>
      <c r="E56" s="14"/>
      <c r="F56" s="14"/>
      <c r="G56" s="14"/>
      <c r="I56" s="167"/>
    </row>
    <row r="57" spans="1:9" ht="12" thickTop="1" thickBot="1" x14ac:dyDescent="0.2">
      <c r="B57" s="160" t="s">
        <v>1268</v>
      </c>
      <c r="C57" s="115" t="s">
        <v>1264</v>
      </c>
      <c r="D57" s="157">
        <f t="shared" ref="D57:I57" si="8">SUM(D52:D56)</f>
        <v>0</v>
      </c>
      <c r="E57" s="157">
        <f t="shared" si="8"/>
        <v>0</v>
      </c>
      <c r="F57" s="157">
        <f t="shared" si="8"/>
        <v>0</v>
      </c>
      <c r="G57" s="157">
        <f t="shared" si="8"/>
        <v>0</v>
      </c>
      <c r="H57" s="157">
        <f t="shared" si="8"/>
        <v>0</v>
      </c>
      <c r="I57" s="173">
        <f t="shared" si="8"/>
        <v>0</v>
      </c>
    </row>
    <row r="58" spans="1:9" ht="12" thickTop="1" thickBot="1" x14ac:dyDescent="0.2">
      <c r="D58" s="159"/>
      <c r="E58" s="159"/>
      <c r="F58" s="159"/>
      <c r="I58" s="167"/>
    </row>
    <row r="59" spans="1:9" ht="12" thickTop="1" thickBot="1" x14ac:dyDescent="0.2">
      <c r="B59" s="160" t="s">
        <v>1269</v>
      </c>
      <c r="C59" s="35" t="s">
        <v>1131</v>
      </c>
      <c r="D59" s="173">
        <f t="shared" ref="D59:I59" si="9">D36+D49+D57</f>
        <v>0</v>
      </c>
      <c r="E59" s="173">
        <f t="shared" si="9"/>
        <v>0</v>
      </c>
      <c r="F59" s="173">
        <f t="shared" si="9"/>
        <v>0</v>
      </c>
      <c r="G59" s="173">
        <f t="shared" si="9"/>
        <v>0</v>
      </c>
      <c r="H59" s="173">
        <f t="shared" si="9"/>
        <v>0</v>
      </c>
      <c r="I59" s="173">
        <f t="shared" si="9"/>
        <v>0</v>
      </c>
    </row>
    <row r="60" spans="1:9" ht="11.25" thickTop="1" x14ac:dyDescent="0.15">
      <c r="D60" s="159"/>
      <c r="E60" s="159"/>
      <c r="F60" s="159"/>
      <c r="I60" s="167"/>
    </row>
    <row r="61" spans="1:9" x14ac:dyDescent="0.15">
      <c r="A61" s="155" t="s">
        <v>110</v>
      </c>
      <c r="C61" s="210" t="s">
        <v>737</v>
      </c>
      <c r="D61" s="159"/>
      <c r="E61" s="159"/>
      <c r="F61" s="159"/>
      <c r="G61" s="159"/>
      <c r="I61" s="167"/>
    </row>
    <row r="62" spans="1:9" x14ac:dyDescent="0.15">
      <c r="A62" s="154" t="s">
        <v>1522</v>
      </c>
      <c r="B62" s="160" t="s">
        <v>1270</v>
      </c>
      <c r="C62" s="115" t="s">
        <v>1516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564">
        <f>G62+H62</f>
        <v>0</v>
      </c>
    </row>
    <row r="63" spans="1:9" x14ac:dyDescent="0.15">
      <c r="A63" s="154" t="s">
        <v>1523</v>
      </c>
      <c r="B63" s="160" t="s">
        <v>1271</v>
      </c>
      <c r="C63" s="115" t="s">
        <v>1517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564">
        <f>G63+H63</f>
        <v>0</v>
      </c>
    </row>
    <row r="64" spans="1:9" x14ac:dyDescent="0.15">
      <c r="A64" s="154" t="s">
        <v>1524</v>
      </c>
      <c r="B64" s="160" t="s">
        <v>1272</v>
      </c>
      <c r="C64" s="115" t="s">
        <v>1518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564">
        <f>G64+H64</f>
        <v>0</v>
      </c>
    </row>
    <row r="65" spans="1:9" ht="10.5" customHeight="1" x14ac:dyDescent="0.15">
      <c r="A65" s="725" t="s">
        <v>1675</v>
      </c>
      <c r="B65" s="726" t="s">
        <v>1273</v>
      </c>
      <c r="C65" s="692" t="s">
        <v>1676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564">
        <f>G65+H65</f>
        <v>0</v>
      </c>
    </row>
    <row r="66" spans="1:9" ht="11.25" thickBot="1" x14ac:dyDescent="0.2">
      <c r="A66" s="154" t="s">
        <v>1526</v>
      </c>
      <c r="B66" s="160" t="s">
        <v>1274</v>
      </c>
      <c r="C66" s="115" t="s">
        <v>1520</v>
      </c>
      <c r="D66" s="150">
        <v>0</v>
      </c>
      <c r="E66" s="150">
        <v>0</v>
      </c>
      <c r="F66" s="150">
        <v>0</v>
      </c>
      <c r="G66" s="150">
        <v>0</v>
      </c>
      <c r="H66" s="41">
        <v>0</v>
      </c>
      <c r="I66" s="564">
        <f>G66+H66</f>
        <v>0</v>
      </c>
    </row>
    <row r="67" spans="1:9" ht="12" thickTop="1" thickBot="1" x14ac:dyDescent="0.2">
      <c r="A67" s="149"/>
      <c r="B67" s="160" t="s">
        <v>252</v>
      </c>
      <c r="C67" s="1" t="s">
        <v>1683</v>
      </c>
      <c r="D67" s="151">
        <f t="shared" ref="D67:I67" si="10">SUM(D62:D66)</f>
        <v>0</v>
      </c>
      <c r="E67" s="151">
        <f t="shared" si="10"/>
        <v>0</v>
      </c>
      <c r="F67" s="151">
        <f t="shared" si="10"/>
        <v>0</v>
      </c>
      <c r="G67" s="151">
        <f t="shared" si="10"/>
        <v>0</v>
      </c>
      <c r="H67" s="151">
        <f t="shared" si="10"/>
        <v>0</v>
      </c>
      <c r="I67" s="169">
        <f t="shared" si="10"/>
        <v>0</v>
      </c>
    </row>
    <row r="68" spans="1:9" ht="12" thickTop="1" thickBot="1" x14ac:dyDescent="0.2">
      <c r="A68" s="149"/>
      <c r="B68" s="160"/>
      <c r="C68" s="115"/>
      <c r="D68" s="159"/>
      <c r="E68" s="159"/>
      <c r="F68" s="159"/>
      <c r="G68" s="159"/>
      <c r="I68" s="167"/>
    </row>
    <row r="69" spans="1:9" ht="11.25" thickBot="1" x14ac:dyDescent="0.2">
      <c r="A69" s="779" t="s">
        <v>1132</v>
      </c>
      <c r="B69" s="779"/>
      <c r="C69" s="780"/>
      <c r="D69" s="212">
        <f t="shared" ref="D69:I69" si="11">D59+D67</f>
        <v>0</v>
      </c>
      <c r="E69" s="212">
        <f t="shared" si="11"/>
        <v>0</v>
      </c>
      <c r="F69" s="212">
        <f t="shared" si="11"/>
        <v>0</v>
      </c>
      <c r="G69" s="212">
        <f t="shared" si="11"/>
        <v>0</v>
      </c>
      <c r="H69" s="212">
        <f t="shared" si="11"/>
        <v>0</v>
      </c>
      <c r="I69" s="212">
        <f t="shared" si="11"/>
        <v>0</v>
      </c>
    </row>
    <row r="70" spans="1:9" x14ac:dyDescent="0.15">
      <c r="C70" s="115" t="s">
        <v>725</v>
      </c>
      <c r="D70" s="159"/>
      <c r="E70" s="159"/>
      <c r="F70" s="159"/>
      <c r="G70" s="159"/>
      <c r="I70" s="167"/>
    </row>
    <row r="71" spans="1:9" ht="11.25" thickBot="1" x14ac:dyDescent="0.2">
      <c r="A71" s="149"/>
      <c r="C71" s="115"/>
      <c r="D71" s="159"/>
      <c r="E71" s="159"/>
      <c r="F71" s="159"/>
      <c r="G71" s="159"/>
      <c r="I71" s="167"/>
    </row>
    <row r="72" spans="1:9" ht="12" thickTop="1" thickBot="1" x14ac:dyDescent="0.2">
      <c r="C72" s="172" t="s">
        <v>726</v>
      </c>
      <c r="D72" s="173">
        <f t="shared" ref="D72:I72" si="12">D18</f>
        <v>0</v>
      </c>
      <c r="E72" s="173">
        <f t="shared" si="12"/>
        <v>0</v>
      </c>
      <c r="F72" s="173">
        <f t="shared" si="12"/>
        <v>0</v>
      </c>
      <c r="G72" s="173">
        <f t="shared" si="12"/>
        <v>0</v>
      </c>
      <c r="H72" s="173">
        <f t="shared" si="12"/>
        <v>0</v>
      </c>
      <c r="I72" s="173">
        <f t="shared" si="12"/>
        <v>0</v>
      </c>
    </row>
    <row r="73" spans="1:9" ht="24.75" customHeight="1" thickTop="1" x14ac:dyDescent="0.15">
      <c r="I73" s="167"/>
    </row>
    <row r="74" spans="1:9" x14ac:dyDescent="0.15">
      <c r="C74" s="172" t="s">
        <v>727</v>
      </c>
      <c r="D74" s="158">
        <f t="shared" ref="D74:I74" si="13">D69-D72</f>
        <v>0</v>
      </c>
      <c r="E74" s="158">
        <f t="shared" si="13"/>
        <v>0</v>
      </c>
      <c r="F74" s="158">
        <f t="shared" si="13"/>
        <v>0</v>
      </c>
      <c r="G74" s="158">
        <f t="shared" si="13"/>
        <v>0</v>
      </c>
      <c r="H74" s="158">
        <f t="shared" si="13"/>
        <v>0</v>
      </c>
      <c r="I74" s="167">
        <f t="shared" si="13"/>
        <v>0</v>
      </c>
    </row>
    <row r="75" spans="1:9" x14ac:dyDescent="0.15">
      <c r="I75" s="167"/>
    </row>
    <row r="76" spans="1:9" x14ac:dyDescent="0.15">
      <c r="I76" s="167"/>
    </row>
    <row r="77" spans="1:9" x14ac:dyDescent="0.15">
      <c r="A77" s="778"/>
      <c r="B77" s="778"/>
      <c r="C77" s="778"/>
      <c r="D77" s="778"/>
      <c r="E77" s="778"/>
      <c r="F77" s="778"/>
      <c r="G77" s="778"/>
    </row>
    <row r="78" spans="1:9" x14ac:dyDescent="0.15">
      <c r="C78" s="175"/>
      <c r="D78" s="176"/>
      <c r="E78" s="176"/>
      <c r="F78" s="176"/>
      <c r="G78" s="176"/>
    </row>
    <row r="79" spans="1:9" x14ac:dyDescent="0.15">
      <c r="C79" s="175"/>
      <c r="D79" s="176"/>
      <c r="E79" s="176"/>
      <c r="F79" s="176"/>
      <c r="G79" s="176"/>
    </row>
    <row r="80" spans="1:9" x14ac:dyDescent="0.15">
      <c r="C80" s="175"/>
      <c r="D80" s="176"/>
      <c r="E80" s="176"/>
      <c r="F80" s="176"/>
      <c r="G80" s="176"/>
    </row>
    <row r="81" spans="3:7" x14ac:dyDescent="0.15">
      <c r="C81" s="175"/>
      <c r="D81" s="176"/>
      <c r="E81" s="176"/>
      <c r="F81" s="176"/>
      <c r="G81" s="176"/>
    </row>
  </sheetData>
  <sheetProtection formatCells="0" formatColumns="0" formatRows="0"/>
  <mergeCells count="2">
    <mergeCell ref="A77:G77"/>
    <mergeCell ref="A69:C69"/>
  </mergeCells>
  <phoneticPr fontId="15" type="noConversion"/>
  <pageMargins left="0.5" right="0.5" top="0.75" bottom="0.75" header="0.5" footer="0.5"/>
  <pageSetup scale="63" firstPageNumber="36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31" workbookViewId="0">
      <selection activeCell="D4" sqref="D4"/>
    </sheetView>
  </sheetViews>
  <sheetFormatPr defaultRowHeight="10.5" x14ac:dyDescent="0.15"/>
  <cols>
    <col min="1" max="1" width="9" style="158" customWidth="1"/>
    <col min="2" max="2" width="3.83203125" style="158" customWidth="1"/>
    <col min="3" max="3" width="70.83203125" style="158" customWidth="1"/>
    <col min="4" max="4" width="15.83203125" style="158" customWidth="1"/>
    <col min="5" max="5" width="18" style="158" customWidth="1"/>
    <col min="6" max="6" width="17.33203125" style="158" customWidth="1"/>
    <col min="7" max="7" width="15.83203125" style="158" customWidth="1"/>
    <col min="8" max="8" width="15" style="158" customWidth="1"/>
    <col min="9" max="9" width="16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G1" s="38" t="s">
        <v>1588</v>
      </c>
    </row>
    <row r="2" spans="1:9" x14ac:dyDescent="0.15">
      <c r="A2" s="15" t="s">
        <v>431</v>
      </c>
    </row>
    <row r="3" spans="1:9" ht="42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G6+H6</f>
        <v>0</v>
      </c>
    </row>
    <row r="7" spans="1:9" x14ac:dyDescent="0.15">
      <c r="A7" s="36" t="s">
        <v>1592</v>
      </c>
      <c r="C7" s="210" t="s">
        <v>196</v>
      </c>
      <c r="E7" s="8"/>
      <c r="F7" s="159"/>
      <c r="G7" s="159"/>
      <c r="I7" s="167"/>
    </row>
    <row r="8" spans="1:9" x14ac:dyDescent="0.15">
      <c r="A8" s="115" t="s">
        <v>1595</v>
      </c>
      <c r="B8" s="174" t="s">
        <v>1159</v>
      </c>
      <c r="C8" s="115" t="s">
        <v>256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SUM(G8+H8)</f>
        <v>0</v>
      </c>
    </row>
    <row r="9" spans="1:9" x14ac:dyDescent="0.15">
      <c r="A9" s="115" t="s">
        <v>1596</v>
      </c>
      <c r="B9" s="174" t="s">
        <v>1160</v>
      </c>
      <c r="C9" s="115" t="s">
        <v>257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20" si="0">SUM(G9+H9)</f>
        <v>0</v>
      </c>
    </row>
    <row r="10" spans="1:9" x14ac:dyDescent="0.15">
      <c r="A10" s="152" t="s">
        <v>1597</v>
      </c>
      <c r="B10" s="174" t="s">
        <v>1161</v>
      </c>
      <c r="C10" s="115" t="s">
        <v>258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1598</v>
      </c>
      <c r="B11" s="174" t="s">
        <v>1228</v>
      </c>
      <c r="C11" s="115" t="s">
        <v>1235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52" t="s">
        <v>255</v>
      </c>
      <c r="B12" s="174" t="s">
        <v>1229</v>
      </c>
      <c r="C12" s="115" t="s">
        <v>559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15" t="s">
        <v>1602</v>
      </c>
      <c r="B13" s="174" t="s">
        <v>1230</v>
      </c>
      <c r="C13" s="115" t="s">
        <v>1321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52" t="s">
        <v>577</v>
      </c>
      <c r="B14" s="174" t="s">
        <v>1231</v>
      </c>
      <c r="C14" s="115" t="s">
        <v>578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52" t="s">
        <v>95</v>
      </c>
      <c r="B15" s="174" t="s">
        <v>1232</v>
      </c>
      <c r="C15" s="115" t="s">
        <v>1326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152" t="s">
        <v>1322</v>
      </c>
      <c r="B16" s="174" t="s">
        <v>1240</v>
      </c>
      <c r="C16" s="115" t="s">
        <v>1327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x14ac:dyDescent="0.15">
      <c r="A17" s="152" t="s">
        <v>1324</v>
      </c>
      <c r="B17" s="174" t="s">
        <v>1244</v>
      </c>
      <c r="C17" s="115" t="s">
        <v>1180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9" x14ac:dyDescent="0.15">
      <c r="A18" s="152" t="s">
        <v>1325</v>
      </c>
      <c r="B18" s="174" t="s">
        <v>1245</v>
      </c>
      <c r="C18" s="115" t="s">
        <v>1181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564">
        <f t="shared" si="0"/>
        <v>0</v>
      </c>
    </row>
    <row r="19" spans="1:9" x14ac:dyDescent="0.15">
      <c r="A19" s="115" t="s">
        <v>105</v>
      </c>
      <c r="B19" s="174" t="s">
        <v>1241</v>
      </c>
      <c r="C19" s="2" t="s">
        <v>860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564">
        <f t="shared" si="0"/>
        <v>0</v>
      </c>
    </row>
    <row r="20" spans="1:9" x14ac:dyDescent="0.15">
      <c r="B20" s="174" t="s">
        <v>1242</v>
      </c>
      <c r="C20" s="115" t="s">
        <v>212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564">
        <f t="shared" si="0"/>
        <v>0</v>
      </c>
    </row>
    <row r="21" spans="1:9" ht="11.25" thickBot="1" x14ac:dyDescent="0.2">
      <c r="A21" s="115"/>
      <c r="B21" s="167"/>
      <c r="C21" s="2"/>
      <c r="D21" s="14"/>
      <c r="E21" s="14"/>
      <c r="F21" s="14"/>
      <c r="G21" s="14"/>
      <c r="I21" s="167"/>
    </row>
    <row r="22" spans="1:9" ht="12" thickTop="1" thickBot="1" x14ac:dyDescent="0.2">
      <c r="B22" s="174" t="s">
        <v>1247</v>
      </c>
      <c r="C22" s="35" t="s">
        <v>1182</v>
      </c>
      <c r="D22" s="169">
        <f t="shared" ref="D22:I22" si="1">SUM(D8:D20)</f>
        <v>0</v>
      </c>
      <c r="E22" s="169">
        <f t="shared" si="1"/>
        <v>0</v>
      </c>
      <c r="F22" s="169">
        <f t="shared" si="1"/>
        <v>0</v>
      </c>
      <c r="G22" s="169">
        <f t="shared" si="1"/>
        <v>0</v>
      </c>
      <c r="H22" s="169">
        <f t="shared" si="1"/>
        <v>0</v>
      </c>
      <c r="I22" s="169">
        <f t="shared" si="1"/>
        <v>0</v>
      </c>
    </row>
    <row r="23" spans="1:9" ht="12" thickTop="1" thickBot="1" x14ac:dyDescent="0.2">
      <c r="C23" s="115"/>
      <c r="D23" s="170"/>
      <c r="E23" s="170"/>
      <c r="F23" s="170"/>
      <c r="G23" s="170"/>
      <c r="I23" s="167"/>
    </row>
    <row r="24" spans="1:9" ht="11.25" thickBot="1" x14ac:dyDescent="0.2">
      <c r="A24" s="35" t="s">
        <v>1183</v>
      </c>
      <c r="D24" s="171">
        <f t="shared" ref="D24:I24" si="2">D6+D22</f>
        <v>0</v>
      </c>
      <c r="E24" s="171">
        <f t="shared" si="2"/>
        <v>0</v>
      </c>
      <c r="F24" s="171">
        <f t="shared" si="2"/>
        <v>0</v>
      </c>
      <c r="G24" s="171">
        <f t="shared" si="2"/>
        <v>0</v>
      </c>
      <c r="H24" s="171">
        <f t="shared" si="2"/>
        <v>0</v>
      </c>
      <c r="I24" s="171">
        <f t="shared" si="2"/>
        <v>0</v>
      </c>
    </row>
    <row r="25" spans="1:9" x14ac:dyDescent="0.15">
      <c r="E25" s="159"/>
      <c r="F25" s="159"/>
      <c r="G25" s="159"/>
      <c r="I25" s="167"/>
    </row>
    <row r="26" spans="1:9" x14ac:dyDescent="0.15">
      <c r="A26" s="660" t="s">
        <v>824</v>
      </c>
      <c r="B26" s="424"/>
      <c r="C26" s="495" t="s">
        <v>816</v>
      </c>
      <c r="D26" s="423"/>
      <c r="E26" s="423"/>
      <c r="F26" s="423"/>
      <c r="G26" s="423"/>
      <c r="H26" s="423"/>
      <c r="I26" s="179"/>
    </row>
    <row r="27" spans="1:9" x14ac:dyDescent="0.15">
      <c r="A27" s="436" t="s">
        <v>105</v>
      </c>
      <c r="B27" s="501" t="s">
        <v>1338</v>
      </c>
      <c r="C27" s="2" t="s">
        <v>827</v>
      </c>
      <c r="D27" s="41">
        <v>0</v>
      </c>
      <c r="E27" s="41">
        <v>0</v>
      </c>
      <c r="F27" s="41">
        <v>0</v>
      </c>
      <c r="G27" s="41">
        <v>0</v>
      </c>
      <c r="H27" s="534">
        <v>0</v>
      </c>
      <c r="I27" s="535">
        <f>SUM(G27+H27)</f>
        <v>0</v>
      </c>
    </row>
    <row r="28" spans="1:9" x14ac:dyDescent="0.15">
      <c r="A28" s="436"/>
      <c r="B28" s="501"/>
      <c r="C28" s="2"/>
      <c r="D28" s="14"/>
      <c r="E28" s="14"/>
      <c r="F28" s="14"/>
      <c r="G28" s="14"/>
      <c r="H28" s="308"/>
      <c r="I28" s="305"/>
    </row>
    <row r="29" spans="1:9" x14ac:dyDescent="0.15">
      <c r="A29" s="490"/>
      <c r="B29" s="424"/>
      <c r="C29" s="423"/>
      <c r="D29" s="423"/>
      <c r="E29" s="423"/>
      <c r="F29" s="423"/>
      <c r="G29" s="423"/>
      <c r="H29" s="423"/>
      <c r="I29" s="423"/>
    </row>
    <row r="30" spans="1:9" x14ac:dyDescent="0.15">
      <c r="A30" s="36" t="s">
        <v>198</v>
      </c>
      <c r="C30" s="210" t="s">
        <v>199</v>
      </c>
      <c r="E30" s="159"/>
      <c r="F30" s="159"/>
      <c r="G30" s="159"/>
      <c r="I30" s="167"/>
    </row>
    <row r="31" spans="1:9" x14ac:dyDescent="0.15">
      <c r="A31" s="36"/>
      <c r="B31" s="40"/>
      <c r="C31" s="115" t="s">
        <v>415</v>
      </c>
      <c r="E31" s="159"/>
      <c r="F31" s="159"/>
      <c r="G31" s="159"/>
      <c r="I31" s="167"/>
    </row>
    <row r="32" spans="1:9" x14ac:dyDescent="0.15">
      <c r="A32" s="115" t="s">
        <v>434</v>
      </c>
      <c r="B32" s="160" t="s">
        <v>1248</v>
      </c>
      <c r="C32" s="115" t="s">
        <v>413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>SUM(G32+H32)</f>
        <v>0</v>
      </c>
    </row>
    <row r="33" spans="1:9" x14ac:dyDescent="0.15">
      <c r="A33" s="115" t="s">
        <v>433</v>
      </c>
      <c r="B33" s="174" t="s">
        <v>1249</v>
      </c>
      <c r="C33" s="115" t="s">
        <v>1184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>SUM(G33+H33)</f>
        <v>0</v>
      </c>
    </row>
    <row r="34" spans="1:9" x14ac:dyDescent="0.15">
      <c r="A34" s="152"/>
      <c r="B34" s="152"/>
      <c r="C34" s="665" t="s">
        <v>31</v>
      </c>
      <c r="D34" s="529">
        <f t="shared" ref="D34:I34" si="3">+D27</f>
        <v>0</v>
      </c>
      <c r="E34" s="529">
        <f t="shared" si="3"/>
        <v>0</v>
      </c>
      <c r="F34" s="529">
        <f t="shared" si="3"/>
        <v>0</v>
      </c>
      <c r="G34" s="529">
        <f t="shared" si="3"/>
        <v>0</v>
      </c>
      <c r="H34" s="529">
        <f t="shared" si="3"/>
        <v>0</v>
      </c>
      <c r="I34" s="529">
        <f t="shared" si="3"/>
        <v>0</v>
      </c>
    </row>
    <row r="35" spans="1:9" x14ac:dyDescent="0.15">
      <c r="B35" s="174" t="s">
        <v>1250</v>
      </c>
      <c r="C35" s="115" t="s">
        <v>1572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>SUM(G35+H35)</f>
        <v>0</v>
      </c>
    </row>
    <row r="36" spans="1:9" ht="11.25" thickBot="1" x14ac:dyDescent="0.2">
      <c r="C36" s="115"/>
      <c r="D36" s="14"/>
      <c r="E36" s="14"/>
      <c r="F36" s="14"/>
      <c r="G36" s="14"/>
      <c r="I36" s="167"/>
    </row>
    <row r="37" spans="1:9" ht="12" thickTop="1" thickBot="1" x14ac:dyDescent="0.2">
      <c r="B37" s="174" t="s">
        <v>1251</v>
      </c>
      <c r="C37" s="35" t="s">
        <v>1505</v>
      </c>
      <c r="D37" s="173">
        <f t="shared" ref="D37:I37" si="4">SUM(D32:D35)</f>
        <v>0</v>
      </c>
      <c r="E37" s="173">
        <f t="shared" si="4"/>
        <v>0</v>
      </c>
      <c r="F37" s="173">
        <f t="shared" si="4"/>
        <v>0</v>
      </c>
      <c r="G37" s="173">
        <f t="shared" si="4"/>
        <v>0</v>
      </c>
      <c r="H37" s="173">
        <f t="shared" si="4"/>
        <v>0</v>
      </c>
      <c r="I37" s="173">
        <f t="shared" si="4"/>
        <v>0</v>
      </c>
    </row>
    <row r="38" spans="1:9" ht="11.25" thickTop="1" x14ac:dyDescent="0.15">
      <c r="E38" s="159"/>
      <c r="F38" s="159"/>
      <c r="G38" s="159"/>
      <c r="I38" s="167"/>
    </row>
    <row r="39" spans="1:9" x14ac:dyDescent="0.15">
      <c r="A39" s="155" t="s">
        <v>110</v>
      </c>
      <c r="C39" s="210" t="s">
        <v>737</v>
      </c>
      <c r="D39" s="159"/>
      <c r="E39" s="159"/>
      <c r="F39" s="159"/>
      <c r="G39" s="159"/>
      <c r="I39" s="167"/>
    </row>
    <row r="40" spans="1:9" x14ac:dyDescent="0.15">
      <c r="A40" s="154" t="s">
        <v>1522</v>
      </c>
      <c r="B40" s="160" t="s">
        <v>1252</v>
      </c>
      <c r="C40" s="115" t="s">
        <v>1516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>SUM(G40+H40)</f>
        <v>0</v>
      </c>
    </row>
    <row r="41" spans="1:9" ht="11.25" customHeight="1" x14ac:dyDescent="0.15">
      <c r="A41" s="154" t="s">
        <v>1524</v>
      </c>
      <c r="B41" s="188" t="s">
        <v>1253</v>
      </c>
      <c r="C41" s="115" t="s">
        <v>1518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>SUM(G41+H41)</f>
        <v>0</v>
      </c>
    </row>
    <row r="42" spans="1:9" x14ac:dyDescent="0.15">
      <c r="A42" s="725" t="s">
        <v>1675</v>
      </c>
      <c r="B42" s="726" t="s">
        <v>1254</v>
      </c>
      <c r="C42" s="692" t="s">
        <v>1676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>SUM(G42+H42)</f>
        <v>0</v>
      </c>
    </row>
    <row r="43" spans="1:9" ht="11.25" thickBot="1" x14ac:dyDescent="0.2">
      <c r="A43" s="154" t="s">
        <v>1526</v>
      </c>
      <c r="B43" s="188" t="s">
        <v>1255</v>
      </c>
      <c r="C43" s="115" t="s">
        <v>1520</v>
      </c>
      <c r="D43" s="150">
        <v>0</v>
      </c>
      <c r="E43" s="150">
        <v>0</v>
      </c>
      <c r="F43" s="150">
        <v>0</v>
      </c>
      <c r="G43" s="150">
        <v>0</v>
      </c>
      <c r="H43" s="41">
        <v>0</v>
      </c>
      <c r="I43" s="564">
        <f>SUM(G43+H43)</f>
        <v>0</v>
      </c>
    </row>
    <row r="44" spans="1:9" ht="12" thickTop="1" thickBot="1" x14ac:dyDescent="0.2">
      <c r="A44" s="149"/>
      <c r="B44" s="188" t="s">
        <v>1260</v>
      </c>
      <c r="C44" s="1" t="s">
        <v>1688</v>
      </c>
      <c r="D44" s="151">
        <f t="shared" ref="D44:I44" si="5">SUM(D40:D43)</f>
        <v>0</v>
      </c>
      <c r="E44" s="151">
        <f t="shared" si="5"/>
        <v>0</v>
      </c>
      <c r="F44" s="151">
        <f t="shared" si="5"/>
        <v>0</v>
      </c>
      <c r="G44" s="151">
        <f t="shared" si="5"/>
        <v>0</v>
      </c>
      <c r="H44" s="151">
        <f t="shared" si="5"/>
        <v>0</v>
      </c>
      <c r="I44" s="169">
        <f t="shared" si="5"/>
        <v>0</v>
      </c>
    </row>
    <row r="45" spans="1:9" ht="12" thickTop="1" thickBot="1" x14ac:dyDescent="0.2">
      <c r="A45" s="149"/>
      <c r="C45" s="115"/>
      <c r="D45" s="159"/>
      <c r="E45" s="159"/>
      <c r="F45" s="159"/>
      <c r="G45" s="159"/>
      <c r="I45" s="167"/>
    </row>
    <row r="46" spans="1:9" ht="11.25" thickBot="1" x14ac:dyDescent="0.2">
      <c r="A46" s="779" t="s">
        <v>1689</v>
      </c>
      <c r="B46" s="779"/>
      <c r="C46" s="781"/>
      <c r="D46" s="212">
        <f t="shared" ref="D46:I46" si="6">D37+D44</f>
        <v>0</v>
      </c>
      <c r="E46" s="212">
        <f t="shared" si="6"/>
        <v>0</v>
      </c>
      <c r="F46" s="212">
        <f t="shared" si="6"/>
        <v>0</v>
      </c>
      <c r="G46" s="212">
        <f t="shared" si="6"/>
        <v>0</v>
      </c>
      <c r="H46" s="212">
        <f t="shared" si="6"/>
        <v>0</v>
      </c>
      <c r="I46" s="212">
        <f t="shared" si="6"/>
        <v>0</v>
      </c>
    </row>
    <row r="47" spans="1:9" x14ac:dyDescent="0.15">
      <c r="A47" s="149"/>
      <c r="C47" s="115" t="s">
        <v>725</v>
      </c>
      <c r="D47" s="159"/>
      <c r="E47" s="159"/>
      <c r="F47" s="159"/>
      <c r="G47" s="159"/>
      <c r="I47" s="167"/>
    </row>
    <row r="48" spans="1:9" ht="11.25" thickBot="1" x14ac:dyDescent="0.2">
      <c r="A48" s="149"/>
      <c r="C48" s="115"/>
      <c r="D48" s="159"/>
      <c r="E48" s="159"/>
      <c r="F48" s="159"/>
      <c r="G48" s="159"/>
      <c r="I48" s="167"/>
    </row>
    <row r="49" spans="1:9" ht="12" thickTop="1" thickBot="1" x14ac:dyDescent="0.2">
      <c r="C49" s="172" t="s">
        <v>726</v>
      </c>
      <c r="D49" s="173">
        <f t="shared" ref="D49:I49" si="7">D24</f>
        <v>0</v>
      </c>
      <c r="E49" s="173">
        <f t="shared" si="7"/>
        <v>0</v>
      </c>
      <c r="F49" s="173">
        <f t="shared" si="7"/>
        <v>0</v>
      </c>
      <c r="G49" s="173">
        <f t="shared" si="7"/>
        <v>0</v>
      </c>
      <c r="H49" s="173">
        <f t="shared" si="7"/>
        <v>0</v>
      </c>
      <c r="I49" s="173">
        <f t="shared" si="7"/>
        <v>0</v>
      </c>
    </row>
    <row r="50" spans="1:9" ht="22.5" customHeight="1" thickTop="1" x14ac:dyDescent="0.15">
      <c r="I50" s="167"/>
    </row>
    <row r="51" spans="1:9" x14ac:dyDescent="0.15">
      <c r="C51" s="172" t="s">
        <v>727</v>
      </c>
      <c r="D51" s="158">
        <f t="shared" ref="D51:I51" si="8">D46-D49</f>
        <v>0</v>
      </c>
      <c r="E51" s="158">
        <f t="shared" si="8"/>
        <v>0</v>
      </c>
      <c r="F51" s="158">
        <f t="shared" si="8"/>
        <v>0</v>
      </c>
      <c r="G51" s="158">
        <f t="shared" si="8"/>
        <v>0</v>
      </c>
      <c r="H51" s="158">
        <f t="shared" si="8"/>
        <v>0</v>
      </c>
      <c r="I51" s="167">
        <f t="shared" si="8"/>
        <v>0</v>
      </c>
    </row>
    <row r="52" spans="1:9" x14ac:dyDescent="0.15">
      <c r="I52" s="167"/>
    </row>
    <row r="55" spans="1:9" x14ac:dyDescent="0.15">
      <c r="A55" s="782" t="s">
        <v>333</v>
      </c>
      <c r="B55" s="782"/>
      <c r="C55" s="782"/>
      <c r="D55" s="782"/>
      <c r="E55" s="782"/>
      <c r="F55" s="782"/>
      <c r="G55" s="782"/>
    </row>
    <row r="57" spans="1:9" x14ac:dyDescent="0.15">
      <c r="A57" s="115" t="s">
        <v>435</v>
      </c>
    </row>
    <row r="58" spans="1:9" x14ac:dyDescent="0.15">
      <c r="C58" s="115"/>
    </row>
  </sheetData>
  <sheetProtection formatCells="0" formatColumns="0" formatRows="0"/>
  <mergeCells count="2">
    <mergeCell ref="A46:C46"/>
    <mergeCell ref="A55:G55"/>
  </mergeCells>
  <phoneticPr fontId="15" type="noConversion"/>
  <pageMargins left="0.5" right="0.5" top="0.75" bottom="0.75" header="0.5" footer="0.5"/>
  <pageSetup scale="66" firstPageNumber="37" fitToHeight="0" orientation="portrait" horizontalDpi="300" verticalDpi="300" r:id="rId1"/>
  <headerFooter alignWithMargins="0">
    <oddFooter>&amp;LCDE, Public Scool Finance Unit&amp;C&amp;P&amp;RRevised March, 2009</oddFooter>
  </headerFooter>
  <ignoredErrors>
    <ignoredError sqref="A1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D4" sqref="D4"/>
    </sheetView>
  </sheetViews>
  <sheetFormatPr defaultRowHeight="10.5" x14ac:dyDescent="0.15"/>
  <cols>
    <col min="1" max="1" width="9" style="158" customWidth="1"/>
    <col min="2" max="2" width="3.83203125" style="158" customWidth="1"/>
    <col min="3" max="3" width="70.83203125" style="158" customWidth="1"/>
    <col min="4" max="4" width="15.83203125" style="158" customWidth="1"/>
    <col min="5" max="5" width="18" style="158" customWidth="1"/>
    <col min="6" max="6" width="17.33203125" style="158" customWidth="1"/>
    <col min="7" max="7" width="15.83203125" style="158" customWidth="1"/>
    <col min="8" max="8" width="15" style="158" customWidth="1"/>
    <col min="9" max="9" width="16" style="158" customWidth="1"/>
    <col min="10" max="16384" width="9.33203125" style="158"/>
  </cols>
  <sheetData>
    <row r="1" spans="1:9" x14ac:dyDescent="0.15">
      <c r="A1" s="158" t="s">
        <v>106</v>
      </c>
      <c r="C1" s="163">
        <f>+'[1]Page 1 - FY2012-13'!B5</f>
        <v>0</v>
      </c>
      <c r="D1" s="158" t="s">
        <v>1586</v>
      </c>
      <c r="E1" s="164">
        <f>+'[1]Page 1 - FY2012-13'!F7</f>
        <v>0</v>
      </c>
      <c r="G1" s="38" t="s">
        <v>1588</v>
      </c>
    </row>
    <row r="2" spans="1:9" x14ac:dyDescent="0.15">
      <c r="A2" s="15" t="s">
        <v>1690</v>
      </c>
    </row>
    <row r="3" spans="1:9" ht="42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G6+H6</f>
        <v>0</v>
      </c>
    </row>
    <row r="7" spans="1:9" x14ac:dyDescent="0.15">
      <c r="A7" s="36" t="s">
        <v>1592</v>
      </c>
      <c r="C7" s="210" t="s">
        <v>196</v>
      </c>
      <c r="E7" s="8"/>
      <c r="F7" s="159"/>
      <c r="G7" s="159"/>
      <c r="I7" s="167"/>
    </row>
    <row r="8" spans="1:9" x14ac:dyDescent="0.15">
      <c r="A8" s="653" t="s">
        <v>1595</v>
      </c>
      <c r="B8" s="655" t="s">
        <v>1159</v>
      </c>
      <c r="C8" s="653" t="s">
        <v>256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SUM(G8+H8)</f>
        <v>0</v>
      </c>
    </row>
    <row r="9" spans="1:9" x14ac:dyDescent="0.15">
      <c r="A9" s="653" t="s">
        <v>1596</v>
      </c>
      <c r="B9" s="655" t="s">
        <v>1160</v>
      </c>
      <c r="C9" s="653" t="s">
        <v>257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20" si="0">SUM(G9+H9)</f>
        <v>0</v>
      </c>
    </row>
    <row r="10" spans="1:9" x14ac:dyDescent="0.15">
      <c r="A10" s="652" t="s">
        <v>1597</v>
      </c>
      <c r="B10" s="655" t="s">
        <v>1161</v>
      </c>
      <c r="C10" s="653" t="s">
        <v>258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653" t="s">
        <v>1598</v>
      </c>
      <c r="B11" s="655" t="s">
        <v>1228</v>
      </c>
      <c r="C11" s="653" t="s">
        <v>1235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652" t="s">
        <v>255</v>
      </c>
      <c r="B12" s="655" t="s">
        <v>1229</v>
      </c>
      <c r="C12" s="653" t="s">
        <v>559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15" t="s">
        <v>1602</v>
      </c>
      <c r="B13" s="174" t="s">
        <v>1230</v>
      </c>
      <c r="C13" s="115" t="s">
        <v>1321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52" t="s">
        <v>577</v>
      </c>
      <c r="B14" s="174" t="s">
        <v>1231</v>
      </c>
      <c r="C14" s="115" t="s">
        <v>578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52" t="s">
        <v>95</v>
      </c>
      <c r="B15" s="174" t="s">
        <v>1232</v>
      </c>
      <c r="C15" s="115" t="s">
        <v>1326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152" t="s">
        <v>1322</v>
      </c>
      <c r="B16" s="174" t="s">
        <v>1240</v>
      </c>
      <c r="C16" s="115" t="s">
        <v>1327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x14ac:dyDescent="0.15">
      <c r="A17" s="152" t="s">
        <v>1324</v>
      </c>
      <c r="B17" s="174" t="s">
        <v>1244</v>
      </c>
      <c r="C17" s="115" t="s">
        <v>1180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9" x14ac:dyDescent="0.15">
      <c r="A18" s="152" t="s">
        <v>1325</v>
      </c>
      <c r="B18" s="174" t="s">
        <v>1245</v>
      </c>
      <c r="C18" s="115" t="s">
        <v>1181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564">
        <f t="shared" si="0"/>
        <v>0</v>
      </c>
    </row>
    <row r="19" spans="1:9" x14ac:dyDescent="0.15">
      <c r="A19" s="115" t="s">
        <v>105</v>
      </c>
      <c r="B19" s="174" t="s">
        <v>1241</v>
      </c>
      <c r="C19" s="2" t="s">
        <v>860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564">
        <f t="shared" si="0"/>
        <v>0</v>
      </c>
    </row>
    <row r="20" spans="1:9" x14ac:dyDescent="0.15">
      <c r="B20" s="174" t="s">
        <v>1242</v>
      </c>
      <c r="C20" s="115" t="s">
        <v>212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564">
        <f t="shared" si="0"/>
        <v>0</v>
      </c>
    </row>
    <row r="21" spans="1:9" ht="11.25" thickBot="1" x14ac:dyDescent="0.2">
      <c r="A21" s="115"/>
      <c r="B21" s="167"/>
      <c r="C21" s="2"/>
      <c r="D21" s="14"/>
      <c r="E21" s="14"/>
      <c r="F21" s="14"/>
      <c r="G21" s="14"/>
      <c r="I21" s="167"/>
    </row>
    <row r="22" spans="1:9" ht="12" thickTop="1" thickBot="1" x14ac:dyDescent="0.2">
      <c r="B22" s="174" t="s">
        <v>1247</v>
      </c>
      <c r="C22" s="35" t="s">
        <v>1182</v>
      </c>
      <c r="D22" s="169">
        <f t="shared" ref="D22:I22" si="1">SUM(D8:D20)</f>
        <v>0</v>
      </c>
      <c r="E22" s="169">
        <f t="shared" si="1"/>
        <v>0</v>
      </c>
      <c r="F22" s="169">
        <f t="shared" si="1"/>
        <v>0</v>
      </c>
      <c r="G22" s="169">
        <f t="shared" si="1"/>
        <v>0</v>
      </c>
      <c r="H22" s="169">
        <f t="shared" si="1"/>
        <v>0</v>
      </c>
      <c r="I22" s="169">
        <f t="shared" si="1"/>
        <v>0</v>
      </c>
    </row>
    <row r="23" spans="1:9" ht="12" thickTop="1" thickBot="1" x14ac:dyDescent="0.2">
      <c r="C23" s="115"/>
      <c r="D23" s="170"/>
      <c r="E23" s="170"/>
      <c r="F23" s="170"/>
      <c r="G23" s="170"/>
      <c r="I23" s="167"/>
    </row>
    <row r="24" spans="1:9" ht="11.25" thickBot="1" x14ac:dyDescent="0.2">
      <c r="A24" s="35" t="s">
        <v>1183</v>
      </c>
      <c r="D24" s="171">
        <f t="shared" ref="D24:I24" si="2">D6+D22</f>
        <v>0</v>
      </c>
      <c r="E24" s="171">
        <f t="shared" si="2"/>
        <v>0</v>
      </c>
      <c r="F24" s="171">
        <f t="shared" si="2"/>
        <v>0</v>
      </c>
      <c r="G24" s="171">
        <f t="shared" si="2"/>
        <v>0</v>
      </c>
      <c r="H24" s="171">
        <f t="shared" si="2"/>
        <v>0</v>
      </c>
      <c r="I24" s="171">
        <f t="shared" si="2"/>
        <v>0</v>
      </c>
    </row>
    <row r="25" spans="1:9" x14ac:dyDescent="0.15">
      <c r="E25" s="159"/>
      <c r="F25" s="159"/>
      <c r="G25" s="159"/>
      <c r="I25" s="167"/>
    </row>
    <row r="26" spans="1:9" x14ac:dyDescent="0.15">
      <c r="A26" s="660" t="s">
        <v>824</v>
      </c>
      <c r="B26" s="424"/>
      <c r="C26" s="495" t="s">
        <v>816</v>
      </c>
      <c r="D26" s="423"/>
      <c r="E26" s="423"/>
      <c r="F26" s="423"/>
      <c r="G26" s="423"/>
      <c r="H26" s="423"/>
      <c r="I26" s="179"/>
    </row>
    <row r="27" spans="1:9" x14ac:dyDescent="0.15">
      <c r="A27" s="436" t="s">
        <v>105</v>
      </c>
      <c r="B27" s="501" t="s">
        <v>1338</v>
      </c>
      <c r="C27" s="2" t="s">
        <v>827</v>
      </c>
      <c r="D27" s="41">
        <v>0</v>
      </c>
      <c r="E27" s="41">
        <v>0</v>
      </c>
      <c r="F27" s="41">
        <v>0</v>
      </c>
      <c r="G27" s="41">
        <v>0</v>
      </c>
      <c r="H27" s="534">
        <v>0</v>
      </c>
      <c r="I27" s="535">
        <f>SUM(G27+H27)</f>
        <v>0</v>
      </c>
    </row>
    <row r="28" spans="1:9" x14ac:dyDescent="0.15">
      <c r="A28" s="436"/>
      <c r="B28" s="501"/>
      <c r="C28" s="2"/>
      <c r="D28" s="14"/>
      <c r="E28" s="14"/>
      <c r="F28" s="14"/>
      <c r="G28" s="14"/>
      <c r="H28" s="308"/>
      <c r="I28" s="305"/>
    </row>
    <row r="29" spans="1:9" x14ac:dyDescent="0.15">
      <c r="A29" s="490"/>
      <c r="B29" s="424"/>
      <c r="C29" s="423"/>
      <c r="D29" s="423"/>
      <c r="E29" s="423"/>
      <c r="F29" s="423"/>
      <c r="G29" s="423"/>
      <c r="H29" s="423"/>
      <c r="I29" s="423"/>
    </row>
    <row r="30" spans="1:9" x14ac:dyDescent="0.15">
      <c r="A30" s="36" t="s">
        <v>198</v>
      </c>
      <c r="C30" s="210" t="s">
        <v>199</v>
      </c>
      <c r="E30" s="159"/>
      <c r="F30" s="159"/>
      <c r="G30" s="159"/>
      <c r="I30" s="167"/>
    </row>
    <row r="31" spans="1:9" x14ac:dyDescent="0.15">
      <c r="A31" s="36"/>
      <c r="B31" s="40"/>
      <c r="C31" s="115" t="s">
        <v>415</v>
      </c>
      <c r="E31" s="159"/>
      <c r="F31" s="159"/>
      <c r="G31" s="159"/>
      <c r="I31" s="167"/>
    </row>
    <row r="32" spans="1:9" x14ac:dyDescent="0.15">
      <c r="A32" s="115" t="s">
        <v>434</v>
      </c>
      <c r="B32" s="160" t="s">
        <v>1248</v>
      </c>
      <c r="C32" s="115" t="s">
        <v>413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>SUM(G32+H32)</f>
        <v>0</v>
      </c>
    </row>
    <row r="33" spans="1:9" x14ac:dyDescent="0.15">
      <c r="A33" s="115" t="s">
        <v>433</v>
      </c>
      <c r="B33" s="174" t="s">
        <v>1249</v>
      </c>
      <c r="C33" s="115" t="s">
        <v>1184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>SUM(G33+H33)</f>
        <v>0</v>
      </c>
    </row>
    <row r="34" spans="1:9" x14ac:dyDescent="0.15">
      <c r="A34" s="152"/>
      <c r="B34" s="152"/>
      <c r="C34" s="665" t="s">
        <v>31</v>
      </c>
      <c r="D34" s="529">
        <f t="shared" ref="D34:I34" si="3">+D27</f>
        <v>0</v>
      </c>
      <c r="E34" s="529">
        <f t="shared" si="3"/>
        <v>0</v>
      </c>
      <c r="F34" s="529">
        <f t="shared" si="3"/>
        <v>0</v>
      </c>
      <c r="G34" s="529">
        <f t="shared" si="3"/>
        <v>0</v>
      </c>
      <c r="H34" s="529">
        <f t="shared" si="3"/>
        <v>0</v>
      </c>
      <c r="I34" s="529">
        <f t="shared" si="3"/>
        <v>0</v>
      </c>
    </row>
    <row r="35" spans="1:9" x14ac:dyDescent="0.15">
      <c r="B35" s="174" t="s">
        <v>1250</v>
      </c>
      <c r="C35" s="115" t="s">
        <v>1572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>SUM(G35+H35)</f>
        <v>0</v>
      </c>
    </row>
    <row r="36" spans="1:9" ht="11.25" thickBot="1" x14ac:dyDescent="0.2">
      <c r="C36" s="115"/>
      <c r="D36" s="14"/>
      <c r="E36" s="14"/>
      <c r="F36" s="14"/>
      <c r="G36" s="14"/>
      <c r="I36" s="167"/>
    </row>
    <row r="37" spans="1:9" ht="12" thickTop="1" thickBot="1" x14ac:dyDescent="0.2">
      <c r="B37" s="174" t="s">
        <v>1251</v>
      </c>
      <c r="C37" s="35" t="s">
        <v>1505</v>
      </c>
      <c r="D37" s="173">
        <f t="shared" ref="D37:I37" si="4">SUM(D32:D35)</f>
        <v>0</v>
      </c>
      <c r="E37" s="173">
        <f t="shared" si="4"/>
        <v>0</v>
      </c>
      <c r="F37" s="173">
        <f t="shared" si="4"/>
        <v>0</v>
      </c>
      <c r="G37" s="173">
        <f t="shared" si="4"/>
        <v>0</v>
      </c>
      <c r="H37" s="173">
        <f t="shared" si="4"/>
        <v>0</v>
      </c>
      <c r="I37" s="173">
        <f t="shared" si="4"/>
        <v>0</v>
      </c>
    </row>
    <row r="38" spans="1:9" ht="11.25" thickTop="1" x14ac:dyDescent="0.15">
      <c r="E38" s="159"/>
      <c r="F38" s="159"/>
      <c r="G38" s="159"/>
      <c r="I38" s="167"/>
    </row>
    <row r="39" spans="1:9" x14ac:dyDescent="0.15">
      <c r="A39" s="155" t="s">
        <v>110</v>
      </c>
      <c r="C39" s="210" t="s">
        <v>737</v>
      </c>
      <c r="D39" s="159"/>
      <c r="E39" s="159"/>
      <c r="F39" s="159"/>
      <c r="G39" s="159"/>
      <c r="I39" s="167"/>
    </row>
    <row r="40" spans="1:9" x14ac:dyDescent="0.15">
      <c r="A40" s="558" t="s">
        <v>1522</v>
      </c>
      <c r="B40" s="726" t="s">
        <v>1252</v>
      </c>
      <c r="C40" s="138" t="s">
        <v>1516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>SUM(G40+H40)</f>
        <v>0</v>
      </c>
    </row>
    <row r="41" spans="1:9" ht="11.25" customHeight="1" x14ac:dyDescent="0.15">
      <c r="A41" s="725" t="s">
        <v>1680</v>
      </c>
      <c r="B41" s="726" t="s">
        <v>1253</v>
      </c>
      <c r="C41" s="138" t="s">
        <v>1518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>SUM(G41+H41)</f>
        <v>0</v>
      </c>
    </row>
    <row r="42" spans="1:9" x14ac:dyDescent="0.15">
      <c r="A42" s="725" t="s">
        <v>1675</v>
      </c>
      <c r="B42" s="726" t="s">
        <v>1254</v>
      </c>
      <c r="C42" s="692" t="s">
        <v>1676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>SUM(G42+H42)</f>
        <v>0</v>
      </c>
    </row>
    <row r="43" spans="1:9" ht="11.25" thickBot="1" x14ac:dyDescent="0.2">
      <c r="A43" s="558" t="s">
        <v>1526</v>
      </c>
      <c r="B43" s="726" t="s">
        <v>1255</v>
      </c>
      <c r="C43" s="138" t="s">
        <v>1520</v>
      </c>
      <c r="D43" s="150">
        <v>0</v>
      </c>
      <c r="E43" s="150">
        <v>0</v>
      </c>
      <c r="F43" s="150">
        <v>0</v>
      </c>
      <c r="G43" s="150">
        <v>0</v>
      </c>
      <c r="H43" s="41">
        <v>0</v>
      </c>
      <c r="I43" s="564">
        <f>SUM(G43+H43)</f>
        <v>0</v>
      </c>
    </row>
    <row r="44" spans="1:9" ht="12" thickTop="1" thickBot="1" x14ac:dyDescent="0.2">
      <c r="A44" s="149"/>
      <c r="B44" s="188" t="s">
        <v>1260</v>
      </c>
      <c r="C44" s="1" t="s">
        <v>1688</v>
      </c>
      <c r="D44" s="151">
        <f t="shared" ref="D44:I44" si="5">SUM(D40:D43)</f>
        <v>0</v>
      </c>
      <c r="E44" s="151">
        <f t="shared" si="5"/>
        <v>0</v>
      </c>
      <c r="F44" s="151">
        <f t="shared" si="5"/>
        <v>0</v>
      </c>
      <c r="G44" s="151">
        <f t="shared" si="5"/>
        <v>0</v>
      </c>
      <c r="H44" s="151">
        <f t="shared" si="5"/>
        <v>0</v>
      </c>
      <c r="I44" s="169">
        <f t="shared" si="5"/>
        <v>0</v>
      </c>
    </row>
    <row r="45" spans="1:9" ht="12" thickTop="1" thickBot="1" x14ac:dyDescent="0.2">
      <c r="A45" s="149"/>
      <c r="C45" s="115"/>
      <c r="D45" s="159"/>
      <c r="E45" s="159"/>
      <c r="F45" s="159"/>
      <c r="G45" s="159"/>
      <c r="I45" s="167"/>
    </row>
    <row r="46" spans="1:9" ht="11.25" thickBot="1" x14ac:dyDescent="0.2">
      <c r="A46" s="779" t="s">
        <v>1133</v>
      </c>
      <c r="B46" s="779"/>
      <c r="C46" s="781"/>
      <c r="D46" s="212">
        <f t="shared" ref="D46:I46" si="6">D37+D44</f>
        <v>0</v>
      </c>
      <c r="E46" s="212">
        <f t="shared" si="6"/>
        <v>0</v>
      </c>
      <c r="F46" s="212">
        <f t="shared" si="6"/>
        <v>0</v>
      </c>
      <c r="G46" s="212">
        <f t="shared" si="6"/>
        <v>0</v>
      </c>
      <c r="H46" s="212">
        <f t="shared" si="6"/>
        <v>0</v>
      </c>
      <c r="I46" s="212">
        <f t="shared" si="6"/>
        <v>0</v>
      </c>
    </row>
    <row r="47" spans="1:9" x14ac:dyDescent="0.15">
      <c r="A47" s="149"/>
      <c r="C47" s="115" t="s">
        <v>725</v>
      </c>
      <c r="D47" s="159"/>
      <c r="E47" s="159"/>
      <c r="F47" s="159"/>
      <c r="G47" s="159"/>
      <c r="I47" s="167"/>
    </row>
    <row r="48" spans="1:9" ht="11.25" thickBot="1" x14ac:dyDescent="0.2">
      <c r="A48" s="149"/>
      <c r="C48" s="115"/>
      <c r="D48" s="159"/>
      <c r="E48" s="159"/>
      <c r="F48" s="159"/>
      <c r="G48" s="159"/>
      <c r="I48" s="167"/>
    </row>
    <row r="49" spans="1:9" ht="12" thickTop="1" thickBot="1" x14ac:dyDescent="0.2">
      <c r="C49" s="172" t="s">
        <v>726</v>
      </c>
      <c r="D49" s="173">
        <f t="shared" ref="D49:I49" si="7">D24</f>
        <v>0</v>
      </c>
      <c r="E49" s="173">
        <f t="shared" si="7"/>
        <v>0</v>
      </c>
      <c r="F49" s="173">
        <f t="shared" si="7"/>
        <v>0</v>
      </c>
      <c r="G49" s="173">
        <f t="shared" si="7"/>
        <v>0</v>
      </c>
      <c r="H49" s="173">
        <f t="shared" si="7"/>
        <v>0</v>
      </c>
      <c r="I49" s="173">
        <f t="shared" si="7"/>
        <v>0</v>
      </c>
    </row>
    <row r="50" spans="1:9" ht="22.5" customHeight="1" thickTop="1" x14ac:dyDescent="0.15">
      <c r="I50" s="167"/>
    </row>
    <row r="51" spans="1:9" x14ac:dyDescent="0.15">
      <c r="C51" s="172" t="s">
        <v>727</v>
      </c>
      <c r="D51" s="158">
        <f t="shared" ref="D51:I51" si="8">D46-D49</f>
        <v>0</v>
      </c>
      <c r="E51" s="158">
        <f t="shared" si="8"/>
        <v>0</v>
      </c>
      <c r="F51" s="158">
        <f t="shared" si="8"/>
        <v>0</v>
      </c>
      <c r="G51" s="158">
        <f t="shared" si="8"/>
        <v>0</v>
      </c>
      <c r="H51" s="158">
        <f t="shared" si="8"/>
        <v>0</v>
      </c>
      <c r="I51" s="167">
        <f t="shared" si="8"/>
        <v>0</v>
      </c>
    </row>
    <row r="52" spans="1:9" x14ac:dyDescent="0.15">
      <c r="I52" s="167"/>
    </row>
    <row r="55" spans="1:9" x14ac:dyDescent="0.15">
      <c r="A55" s="782" t="s">
        <v>1691</v>
      </c>
      <c r="B55" s="782"/>
      <c r="C55" s="782"/>
      <c r="D55" s="782"/>
      <c r="E55" s="782"/>
      <c r="F55" s="782"/>
      <c r="G55" s="782"/>
    </row>
    <row r="57" spans="1:9" x14ac:dyDescent="0.15">
      <c r="A57" s="115"/>
    </row>
    <row r="58" spans="1:9" x14ac:dyDescent="0.15">
      <c r="C58" s="115"/>
    </row>
  </sheetData>
  <mergeCells count="2">
    <mergeCell ref="A46:C46"/>
    <mergeCell ref="A55:G5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opLeftCell="A34" workbookViewId="0">
      <selection activeCell="A4" sqref="A4"/>
    </sheetView>
  </sheetViews>
  <sheetFormatPr defaultRowHeight="10.5" x14ac:dyDescent="0.15"/>
  <cols>
    <col min="1" max="1" width="18.6640625" style="158" customWidth="1"/>
    <col min="2" max="2" width="3.83203125" style="158" customWidth="1"/>
    <col min="3" max="3" width="70.83203125" style="158" customWidth="1"/>
    <col min="4" max="4" width="15.83203125" style="158" customWidth="1"/>
    <col min="5" max="5" width="17.33203125" style="158" customWidth="1"/>
    <col min="6" max="6" width="18.33203125" style="158" customWidth="1"/>
    <col min="7" max="7" width="15.83203125" style="158" customWidth="1"/>
    <col min="8" max="8" width="18.6640625" style="158" customWidth="1"/>
    <col min="9" max="9" width="17.33203125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G1" s="38" t="s">
        <v>1588</v>
      </c>
    </row>
    <row r="2" spans="1:9" x14ac:dyDescent="0.15">
      <c r="A2" s="113" t="s">
        <v>436</v>
      </c>
    </row>
    <row r="3" spans="1:9" ht="31.5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437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SUM(G6+H6)</f>
        <v>0</v>
      </c>
    </row>
    <row r="7" spans="1:9" x14ac:dyDescent="0.15">
      <c r="A7" s="36" t="s">
        <v>1592</v>
      </c>
      <c r="C7" s="210" t="s">
        <v>196</v>
      </c>
      <c r="E7" s="159"/>
      <c r="F7" s="159"/>
      <c r="G7" s="159"/>
      <c r="I7" s="167"/>
    </row>
    <row r="8" spans="1:9" x14ac:dyDescent="0.15">
      <c r="A8" s="115" t="s">
        <v>438</v>
      </c>
      <c r="B8" s="174" t="s">
        <v>1159</v>
      </c>
      <c r="C8" s="115" t="s">
        <v>1256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SUM(G8+H8)</f>
        <v>0</v>
      </c>
    </row>
    <row r="9" spans="1:9" x14ac:dyDescent="0.15">
      <c r="A9" s="115" t="s">
        <v>1602</v>
      </c>
      <c r="B9" s="174" t="s">
        <v>1160</v>
      </c>
      <c r="C9" s="115" t="s">
        <v>443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16" si="0">SUM(G9+H9)</f>
        <v>0</v>
      </c>
    </row>
    <row r="10" spans="1:9" x14ac:dyDescent="0.15">
      <c r="A10" s="115" t="s">
        <v>439</v>
      </c>
      <c r="B10" s="174" t="s">
        <v>1070</v>
      </c>
      <c r="C10" s="115" t="s">
        <v>1257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440</v>
      </c>
      <c r="B11" s="174" t="s">
        <v>1161</v>
      </c>
      <c r="C11" s="115" t="s">
        <v>1258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52" t="s">
        <v>1322</v>
      </c>
      <c r="B12" s="174" t="s">
        <v>1229</v>
      </c>
      <c r="C12" s="115" t="s">
        <v>1327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52" t="s">
        <v>1324</v>
      </c>
      <c r="B13" s="174" t="s">
        <v>1230</v>
      </c>
      <c r="C13" s="115" t="s">
        <v>1180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52" t="s">
        <v>1325</v>
      </c>
      <c r="B14" s="174" t="s">
        <v>1231</v>
      </c>
      <c r="C14" s="115" t="s">
        <v>1181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15" t="s">
        <v>105</v>
      </c>
      <c r="B15" s="174" t="s">
        <v>1232</v>
      </c>
      <c r="C15" s="2" t="s">
        <v>854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115"/>
      <c r="B16" s="174" t="s">
        <v>1240</v>
      </c>
      <c r="C16" s="138" t="s">
        <v>212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ht="11.25" thickBot="1" x14ac:dyDescent="0.2">
      <c r="A17" s="115"/>
      <c r="B17" s="174"/>
      <c r="C17" s="138"/>
      <c r="I17" s="167"/>
    </row>
    <row r="18" spans="1:9" ht="12" thickTop="1" thickBot="1" x14ac:dyDescent="0.2">
      <c r="B18" s="174" t="s">
        <v>1244</v>
      </c>
      <c r="C18" s="35" t="s">
        <v>1507</v>
      </c>
      <c r="D18" s="169">
        <f t="shared" ref="D18:I18" si="1">SUM(D8:D16)</f>
        <v>0</v>
      </c>
      <c r="E18" s="169">
        <f t="shared" si="1"/>
        <v>0</v>
      </c>
      <c r="F18" s="169">
        <f t="shared" si="1"/>
        <v>0</v>
      </c>
      <c r="G18" s="169">
        <f t="shared" si="1"/>
        <v>0</v>
      </c>
      <c r="H18" s="169">
        <f t="shared" si="1"/>
        <v>0</v>
      </c>
      <c r="I18" s="169">
        <f t="shared" si="1"/>
        <v>0</v>
      </c>
    </row>
    <row r="19" spans="1:9" ht="12" thickTop="1" thickBot="1" x14ac:dyDescent="0.2">
      <c r="C19" s="115"/>
      <c r="D19" s="170"/>
      <c r="E19" s="170"/>
      <c r="F19" s="170"/>
      <c r="G19" s="170"/>
      <c r="I19" s="167"/>
    </row>
    <row r="20" spans="1:9" ht="11.25" thickBot="1" x14ac:dyDescent="0.2">
      <c r="A20" s="35" t="s">
        <v>1506</v>
      </c>
      <c r="D20" s="171">
        <f t="shared" ref="D20:I20" si="2">D6+D18</f>
        <v>0</v>
      </c>
      <c r="E20" s="171">
        <f t="shared" si="2"/>
        <v>0</v>
      </c>
      <c r="F20" s="171">
        <f t="shared" si="2"/>
        <v>0</v>
      </c>
      <c r="G20" s="171">
        <f t="shared" si="2"/>
        <v>0</v>
      </c>
      <c r="H20" s="171">
        <f t="shared" si="2"/>
        <v>0</v>
      </c>
      <c r="I20" s="171">
        <f t="shared" si="2"/>
        <v>0</v>
      </c>
    </row>
    <row r="21" spans="1:9" x14ac:dyDescent="0.15">
      <c r="E21" s="159"/>
      <c r="F21" s="159"/>
      <c r="G21" s="159"/>
      <c r="I21" s="167"/>
    </row>
    <row r="22" spans="1:9" x14ac:dyDescent="0.15">
      <c r="A22" s="660" t="s">
        <v>824</v>
      </c>
      <c r="B22" s="424"/>
      <c r="C22" s="495" t="s">
        <v>816</v>
      </c>
      <c r="D22" s="423"/>
      <c r="E22" s="423"/>
      <c r="F22" s="423"/>
      <c r="G22" s="423"/>
      <c r="H22" s="423"/>
      <c r="I22" s="179"/>
    </row>
    <row r="23" spans="1:9" x14ac:dyDescent="0.15">
      <c r="A23" s="436" t="s">
        <v>105</v>
      </c>
      <c r="B23" s="501" t="s">
        <v>32</v>
      </c>
      <c r="C23" s="2" t="s">
        <v>827</v>
      </c>
      <c r="D23" s="41">
        <v>0</v>
      </c>
      <c r="E23" s="41">
        <v>0</v>
      </c>
      <c r="F23" s="41">
        <v>0</v>
      </c>
      <c r="G23" s="41">
        <v>0</v>
      </c>
      <c r="H23" s="534">
        <v>0</v>
      </c>
      <c r="I23" s="535">
        <f>SUM(G23+H23)</f>
        <v>0</v>
      </c>
    </row>
    <row r="24" spans="1:9" x14ac:dyDescent="0.15">
      <c r="A24" s="436"/>
      <c r="B24" s="501"/>
      <c r="C24" s="2"/>
      <c r="D24" s="14"/>
      <c r="E24" s="14"/>
      <c r="F24" s="14"/>
      <c r="G24" s="14"/>
      <c r="H24" s="308"/>
      <c r="I24" s="305"/>
    </row>
    <row r="25" spans="1:9" x14ac:dyDescent="0.15">
      <c r="E25" s="159"/>
      <c r="F25" s="159"/>
      <c r="G25" s="159"/>
      <c r="I25" s="167"/>
    </row>
    <row r="26" spans="1:9" x14ac:dyDescent="0.15">
      <c r="A26" s="36" t="s">
        <v>198</v>
      </c>
      <c r="C26" s="210" t="s">
        <v>199</v>
      </c>
      <c r="E26" s="159"/>
      <c r="F26" s="159"/>
      <c r="G26" s="159"/>
      <c r="I26" s="167"/>
    </row>
    <row r="27" spans="1:9" x14ac:dyDescent="0.15">
      <c r="A27" s="115" t="s">
        <v>441</v>
      </c>
      <c r="B27" s="160" t="s">
        <v>1245</v>
      </c>
      <c r="C27" s="115" t="s">
        <v>232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ref="I27:I41" si="3">SUM(G27+H27)</f>
        <v>0</v>
      </c>
    </row>
    <row r="28" spans="1:9" x14ac:dyDescent="0.15">
      <c r="A28" s="115" t="s">
        <v>247</v>
      </c>
      <c r="B28" s="174" t="s">
        <v>1241</v>
      </c>
      <c r="C28" s="115" t="s">
        <v>1508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3"/>
        <v>0</v>
      </c>
    </row>
    <row r="29" spans="1:9" x14ac:dyDescent="0.15">
      <c r="A29" s="115" t="s">
        <v>428</v>
      </c>
      <c r="B29" s="174" t="s">
        <v>1242</v>
      </c>
      <c r="C29" s="115" t="s">
        <v>156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3"/>
        <v>0</v>
      </c>
    </row>
    <row r="30" spans="1:9" x14ac:dyDescent="0.15">
      <c r="A30" s="152" t="s">
        <v>1583</v>
      </c>
      <c r="B30" s="174" t="s">
        <v>1247</v>
      </c>
      <c r="C30" s="115" t="s">
        <v>160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3"/>
        <v>0</v>
      </c>
    </row>
    <row r="31" spans="1:9" x14ac:dyDescent="0.15">
      <c r="A31" s="115" t="s">
        <v>248</v>
      </c>
      <c r="B31" s="174" t="s">
        <v>1248</v>
      </c>
      <c r="C31" s="115" t="s">
        <v>161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3"/>
        <v>0</v>
      </c>
    </row>
    <row r="32" spans="1:9" x14ac:dyDescent="0.15">
      <c r="A32" s="152" t="s">
        <v>201</v>
      </c>
      <c r="B32" s="174" t="s">
        <v>1249</v>
      </c>
      <c r="C32" s="115" t="s">
        <v>162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 t="shared" si="3"/>
        <v>0</v>
      </c>
    </row>
    <row r="33" spans="1:9" x14ac:dyDescent="0.15">
      <c r="A33" s="152" t="s">
        <v>158</v>
      </c>
      <c r="B33" s="174" t="s">
        <v>1250</v>
      </c>
      <c r="C33" s="115" t="s">
        <v>464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si="3"/>
        <v>0</v>
      </c>
    </row>
    <row r="34" spans="1:9" x14ac:dyDescent="0.15">
      <c r="A34" s="152" t="s">
        <v>159</v>
      </c>
      <c r="B34" s="174" t="s">
        <v>1251</v>
      </c>
      <c r="C34" s="115" t="s">
        <v>465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564">
        <f t="shared" si="3"/>
        <v>0</v>
      </c>
    </row>
    <row r="35" spans="1:9" x14ac:dyDescent="0.15">
      <c r="A35" s="152" t="s">
        <v>466</v>
      </c>
      <c r="B35" s="174" t="s">
        <v>1252</v>
      </c>
      <c r="C35" s="115" t="s">
        <v>468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 t="shared" si="3"/>
        <v>0</v>
      </c>
    </row>
    <row r="36" spans="1:9" x14ac:dyDescent="0.15">
      <c r="A36" s="115" t="s">
        <v>250</v>
      </c>
      <c r="B36" s="174" t="s">
        <v>1253</v>
      </c>
      <c r="C36" s="115" t="s">
        <v>165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si="3"/>
        <v>0</v>
      </c>
    </row>
    <row r="37" spans="1:9" x14ac:dyDescent="0.15">
      <c r="A37" s="652" t="s">
        <v>631</v>
      </c>
      <c r="B37" s="654" t="s">
        <v>1254</v>
      </c>
      <c r="C37" s="653" t="s">
        <v>173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3"/>
        <v>0</v>
      </c>
    </row>
    <row r="38" spans="1:9" x14ac:dyDescent="0.15">
      <c r="A38" s="115" t="s">
        <v>548</v>
      </c>
      <c r="B38" s="160" t="s">
        <v>1255</v>
      </c>
      <c r="C38" s="115" t="s">
        <v>1509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3"/>
        <v>0</v>
      </c>
    </row>
    <row r="39" spans="1:9" x14ac:dyDescent="0.15">
      <c r="A39" s="115" t="s">
        <v>1259</v>
      </c>
      <c r="B39" s="160" t="s">
        <v>1260</v>
      </c>
      <c r="C39" s="115" t="s">
        <v>1510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3"/>
        <v>0</v>
      </c>
    </row>
    <row r="40" spans="1:9" x14ac:dyDescent="0.15">
      <c r="A40" s="152"/>
      <c r="B40" s="152"/>
      <c r="C40" s="665" t="s">
        <v>33</v>
      </c>
      <c r="D40" s="529">
        <f t="shared" ref="D40:I40" si="4">+D23</f>
        <v>0</v>
      </c>
      <c r="E40" s="529">
        <f t="shared" si="4"/>
        <v>0</v>
      </c>
      <c r="F40" s="529">
        <f t="shared" si="4"/>
        <v>0</v>
      </c>
      <c r="G40" s="529">
        <f t="shared" si="4"/>
        <v>0</v>
      </c>
      <c r="H40" s="529">
        <f t="shared" si="4"/>
        <v>0</v>
      </c>
      <c r="I40" s="529">
        <f t="shared" si="4"/>
        <v>0</v>
      </c>
    </row>
    <row r="41" spans="1:9" x14ac:dyDescent="0.15">
      <c r="B41" s="160" t="s">
        <v>1261</v>
      </c>
      <c r="C41" s="115" t="s">
        <v>1511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3"/>
        <v>0</v>
      </c>
    </row>
    <row r="42" spans="1:9" ht="11.25" thickBot="1" x14ac:dyDescent="0.2">
      <c r="C42" s="115"/>
      <c r="D42" s="14"/>
      <c r="F42" s="159"/>
      <c r="G42" s="159"/>
      <c r="I42" s="167"/>
    </row>
    <row r="43" spans="1:9" ht="12" thickTop="1" thickBot="1" x14ac:dyDescent="0.2">
      <c r="B43" s="160" t="s">
        <v>1262</v>
      </c>
      <c r="C43" s="35" t="s">
        <v>549</v>
      </c>
      <c r="D43" s="173">
        <f t="shared" ref="D43:I43" si="5">SUM(D27:D41)</f>
        <v>0</v>
      </c>
      <c r="E43" s="173">
        <f t="shared" si="5"/>
        <v>0</v>
      </c>
      <c r="F43" s="173">
        <f t="shared" si="5"/>
        <v>0</v>
      </c>
      <c r="G43" s="173">
        <f t="shared" si="5"/>
        <v>0</v>
      </c>
      <c r="H43" s="173">
        <f t="shared" si="5"/>
        <v>0</v>
      </c>
      <c r="I43" s="173">
        <f t="shared" si="5"/>
        <v>0</v>
      </c>
    </row>
    <row r="44" spans="1:9" ht="11.25" thickTop="1" x14ac:dyDescent="0.15">
      <c r="E44" s="159"/>
      <c r="F44" s="159"/>
      <c r="G44" s="159"/>
      <c r="I44" s="167"/>
    </row>
    <row r="45" spans="1:9" x14ac:dyDescent="0.15">
      <c r="A45" s="155" t="s">
        <v>110</v>
      </c>
      <c r="C45" s="210" t="s">
        <v>737</v>
      </c>
      <c r="D45" s="159"/>
      <c r="E45" s="159"/>
      <c r="F45" s="159"/>
      <c r="G45" s="159"/>
      <c r="I45" s="167"/>
    </row>
    <row r="46" spans="1:9" x14ac:dyDescent="0.15">
      <c r="A46" s="154" t="s">
        <v>1522</v>
      </c>
      <c r="B46" s="160" t="s">
        <v>1263</v>
      </c>
      <c r="C46" s="115" t="s">
        <v>1516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564">
        <f>SUM(G46+H46)</f>
        <v>0</v>
      </c>
    </row>
    <row r="47" spans="1:9" x14ac:dyDescent="0.15">
      <c r="A47" s="154" t="s">
        <v>1523</v>
      </c>
      <c r="B47" s="160" t="s">
        <v>472</v>
      </c>
      <c r="C47" s="115" t="s">
        <v>1517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564">
        <f>SUM(G47+H47)</f>
        <v>0</v>
      </c>
    </row>
    <row r="48" spans="1:9" x14ac:dyDescent="0.15">
      <c r="A48" s="154" t="s">
        <v>1524</v>
      </c>
      <c r="B48" s="160" t="s">
        <v>478</v>
      </c>
      <c r="C48" s="115" t="s">
        <v>1518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564">
        <f>SUM(G48+H48)</f>
        <v>0</v>
      </c>
    </row>
    <row r="49" spans="1:9" ht="10.5" customHeight="1" x14ac:dyDescent="0.15">
      <c r="A49" s="725" t="s">
        <v>1675</v>
      </c>
      <c r="B49" s="726" t="s">
        <v>1267</v>
      </c>
      <c r="C49" s="692" t="s">
        <v>1676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564">
        <f>SUM(G49+H49)</f>
        <v>0</v>
      </c>
    </row>
    <row r="50" spans="1:9" ht="11.25" thickBot="1" x14ac:dyDescent="0.2">
      <c r="A50" s="154" t="s">
        <v>1526</v>
      </c>
      <c r="B50" s="188" t="s">
        <v>1268</v>
      </c>
      <c r="C50" s="115" t="s">
        <v>1520</v>
      </c>
      <c r="D50" s="150">
        <v>0</v>
      </c>
      <c r="E50" s="150">
        <v>0</v>
      </c>
      <c r="F50" s="150">
        <v>0</v>
      </c>
      <c r="G50" s="150">
        <v>0</v>
      </c>
      <c r="H50" s="41">
        <v>0</v>
      </c>
      <c r="I50" s="564">
        <f>SUM(G50+H50)</f>
        <v>0</v>
      </c>
    </row>
    <row r="51" spans="1:9" ht="12" thickTop="1" thickBot="1" x14ac:dyDescent="0.2">
      <c r="A51" s="149"/>
      <c r="B51" s="188" t="s">
        <v>1269</v>
      </c>
      <c r="C51" s="115" t="s">
        <v>550</v>
      </c>
      <c r="D51" s="151">
        <f t="shared" ref="D51:I51" si="6">SUM(D46:D50)</f>
        <v>0</v>
      </c>
      <c r="E51" s="151">
        <f t="shared" si="6"/>
        <v>0</v>
      </c>
      <c r="F51" s="151">
        <f t="shared" si="6"/>
        <v>0</v>
      </c>
      <c r="G51" s="151">
        <f t="shared" si="6"/>
        <v>0</v>
      </c>
      <c r="H51" s="151">
        <f t="shared" si="6"/>
        <v>0</v>
      </c>
      <c r="I51" s="169">
        <f t="shared" si="6"/>
        <v>0</v>
      </c>
    </row>
    <row r="52" spans="1:9" ht="12" thickTop="1" thickBot="1" x14ac:dyDescent="0.2">
      <c r="A52" s="149"/>
      <c r="C52" s="115"/>
      <c r="D52" s="159"/>
      <c r="E52" s="159"/>
      <c r="F52" s="159"/>
      <c r="G52" s="159"/>
      <c r="I52" s="167"/>
    </row>
    <row r="53" spans="1:9" ht="11.25" thickBot="1" x14ac:dyDescent="0.2">
      <c r="A53" s="776" t="s">
        <v>551</v>
      </c>
      <c r="B53" s="776"/>
      <c r="C53" s="783"/>
      <c r="D53" s="212">
        <f t="shared" ref="D53:I53" si="7">D43+D51</f>
        <v>0</v>
      </c>
      <c r="E53" s="212">
        <f t="shared" si="7"/>
        <v>0</v>
      </c>
      <c r="F53" s="212">
        <f t="shared" si="7"/>
        <v>0</v>
      </c>
      <c r="G53" s="212">
        <f t="shared" si="7"/>
        <v>0</v>
      </c>
      <c r="H53" s="212">
        <f t="shared" si="7"/>
        <v>0</v>
      </c>
      <c r="I53" s="212">
        <f t="shared" si="7"/>
        <v>0</v>
      </c>
    </row>
    <row r="54" spans="1:9" x14ac:dyDescent="0.15">
      <c r="A54" s="149"/>
      <c r="C54" s="115" t="s">
        <v>725</v>
      </c>
      <c r="D54" s="159"/>
      <c r="E54" s="159"/>
      <c r="F54" s="159"/>
      <c r="G54" s="159"/>
      <c r="I54" s="167"/>
    </row>
    <row r="55" spans="1:9" ht="11.25" thickBot="1" x14ac:dyDescent="0.2">
      <c r="A55" s="149"/>
      <c r="C55" s="115"/>
      <c r="D55" s="159"/>
      <c r="E55" s="159"/>
      <c r="F55" s="159"/>
      <c r="G55" s="159"/>
      <c r="I55" s="167"/>
    </row>
    <row r="56" spans="1:9" ht="12" thickTop="1" thickBot="1" x14ac:dyDescent="0.2">
      <c r="C56" s="172" t="s">
        <v>726</v>
      </c>
      <c r="D56" s="173">
        <f t="shared" ref="D56:I56" si="8">D20</f>
        <v>0</v>
      </c>
      <c r="E56" s="173">
        <f t="shared" si="8"/>
        <v>0</v>
      </c>
      <c r="F56" s="173">
        <f t="shared" si="8"/>
        <v>0</v>
      </c>
      <c r="G56" s="173">
        <f t="shared" si="8"/>
        <v>0</v>
      </c>
      <c r="H56" s="173">
        <f t="shared" si="8"/>
        <v>0</v>
      </c>
      <c r="I56" s="173">
        <f t="shared" si="8"/>
        <v>0</v>
      </c>
    </row>
    <row r="57" spans="1:9" ht="11.25" thickTop="1" x14ac:dyDescent="0.15">
      <c r="I57" s="167"/>
    </row>
    <row r="58" spans="1:9" x14ac:dyDescent="0.15">
      <c r="C58" s="172" t="s">
        <v>727</v>
      </c>
      <c r="D58" s="158">
        <f t="shared" ref="D58:I58" si="9">D53-D56</f>
        <v>0</v>
      </c>
      <c r="E58" s="158">
        <f t="shared" si="9"/>
        <v>0</v>
      </c>
      <c r="F58" s="158">
        <f t="shared" si="9"/>
        <v>0</v>
      </c>
      <c r="G58" s="158">
        <f t="shared" si="9"/>
        <v>0</v>
      </c>
      <c r="H58" s="158">
        <f t="shared" si="9"/>
        <v>0</v>
      </c>
      <c r="I58" s="167">
        <f t="shared" si="9"/>
        <v>0</v>
      </c>
    </row>
    <row r="59" spans="1:9" x14ac:dyDescent="0.15">
      <c r="I59" s="167"/>
    </row>
    <row r="60" spans="1:9" x14ac:dyDescent="0.15">
      <c r="I60" s="167"/>
    </row>
    <row r="63" spans="1:9" x14ac:dyDescent="0.15">
      <c r="A63" s="115" t="s">
        <v>435</v>
      </c>
    </row>
  </sheetData>
  <sheetProtection formatCells="0" formatColumns="0" formatRows="0"/>
  <mergeCells count="1">
    <mergeCell ref="A53:C53"/>
  </mergeCells>
  <phoneticPr fontId="15" type="noConversion"/>
  <pageMargins left="0.5" right="0.5" top="0.75" bottom="0.75" header="0.5" footer="0.5"/>
  <pageSetup scale="61" firstPageNumber="38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31" workbookViewId="0">
      <selection activeCell="R89" sqref="R89"/>
    </sheetView>
  </sheetViews>
  <sheetFormatPr defaultRowHeight="10.5" x14ac:dyDescent="0.15"/>
  <cols>
    <col min="1" max="1" width="11" style="158" customWidth="1"/>
    <col min="2" max="2" width="4.33203125" style="158" customWidth="1"/>
    <col min="3" max="3" width="70.83203125" style="158" customWidth="1"/>
    <col min="4" max="4" width="15.83203125" customWidth="1"/>
    <col min="5" max="5" width="17.33203125" style="158" customWidth="1"/>
    <col min="6" max="6" width="17.6640625" style="158" customWidth="1"/>
    <col min="7" max="7" width="15.83203125" style="158" customWidth="1"/>
    <col min="8" max="8" width="16" style="158" customWidth="1"/>
    <col min="9" max="9" width="17.33203125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58" t="s">
        <v>1586</v>
      </c>
      <c r="E1" s="164">
        <f>+'Page 1 - FY2014-15'!F7</f>
        <v>0</v>
      </c>
      <c r="G1" s="38" t="s">
        <v>1588</v>
      </c>
    </row>
    <row r="2" spans="1:9" x14ac:dyDescent="0.15">
      <c r="A2" s="113" t="s">
        <v>542</v>
      </c>
      <c r="C2" s="19"/>
    </row>
    <row r="3" spans="1:9" ht="42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SUM(G6+H6)</f>
        <v>0</v>
      </c>
    </row>
    <row r="7" spans="1:9" x14ac:dyDescent="0.15">
      <c r="A7" s="36" t="s">
        <v>1592</v>
      </c>
      <c r="C7" s="210" t="s">
        <v>196</v>
      </c>
      <c r="E7"/>
      <c r="F7"/>
      <c r="G7"/>
      <c r="I7" s="167"/>
    </row>
    <row r="8" spans="1:9" x14ac:dyDescent="0.15">
      <c r="A8" s="115" t="s">
        <v>1595</v>
      </c>
      <c r="B8" s="174" t="s">
        <v>1159</v>
      </c>
      <c r="C8" s="115" t="s">
        <v>256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 t="shared" ref="I8:I13" si="0">SUM(G8+H8)</f>
        <v>0</v>
      </c>
    </row>
    <row r="9" spans="1:9" x14ac:dyDescent="0.15">
      <c r="A9" s="115" t="s">
        <v>1596</v>
      </c>
      <c r="B9" s="174" t="s">
        <v>1160</v>
      </c>
      <c r="C9" s="115" t="s">
        <v>257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si="0"/>
        <v>0</v>
      </c>
    </row>
    <row r="10" spans="1:9" x14ac:dyDescent="0.15">
      <c r="A10" s="115" t="s">
        <v>1598</v>
      </c>
      <c r="B10" s="174" t="s">
        <v>1161</v>
      </c>
      <c r="C10" s="115" t="s">
        <v>1235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1602</v>
      </c>
      <c r="B11" s="174" t="s">
        <v>1228</v>
      </c>
      <c r="C11" s="115" t="s">
        <v>443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15" t="s">
        <v>105</v>
      </c>
      <c r="B12" s="174" t="s">
        <v>1229</v>
      </c>
      <c r="C12" s="2" t="s">
        <v>1136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B13" s="174" t="s">
        <v>1230</v>
      </c>
      <c r="C13" s="115" t="s">
        <v>212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ht="11.25" thickBot="1" x14ac:dyDescent="0.2">
      <c r="B14" s="174"/>
      <c r="C14" s="115"/>
      <c r="D14" s="14"/>
      <c r="E14" s="14"/>
      <c r="F14" s="14"/>
      <c r="G14" s="14"/>
      <c r="I14" s="167"/>
    </row>
    <row r="15" spans="1:9" ht="12" thickTop="1" thickBot="1" x14ac:dyDescent="0.2">
      <c r="B15" s="174" t="s">
        <v>1231</v>
      </c>
      <c r="C15" s="35" t="s">
        <v>213</v>
      </c>
      <c r="D15" s="169">
        <f t="shared" ref="D15:I15" si="1">SUM(D8:D13)</f>
        <v>0</v>
      </c>
      <c r="E15" s="169">
        <f t="shared" si="1"/>
        <v>0</v>
      </c>
      <c r="F15" s="169">
        <f t="shared" si="1"/>
        <v>0</v>
      </c>
      <c r="G15" s="169">
        <f t="shared" si="1"/>
        <v>0</v>
      </c>
      <c r="H15" s="169">
        <f t="shared" si="1"/>
        <v>0</v>
      </c>
      <c r="I15" s="169">
        <f t="shared" si="1"/>
        <v>0</v>
      </c>
    </row>
    <row r="16" spans="1:9" ht="12" thickTop="1" thickBot="1" x14ac:dyDescent="0.2">
      <c r="C16" s="115"/>
      <c r="D16" s="170"/>
      <c r="E16" s="170"/>
      <c r="F16" s="170"/>
      <c r="G16" s="170"/>
      <c r="I16" s="167"/>
    </row>
    <row r="17" spans="1:9" ht="11.25" thickBot="1" x14ac:dyDescent="0.2">
      <c r="A17" s="35" t="s">
        <v>214</v>
      </c>
      <c r="D17" s="171">
        <f t="shared" ref="D17:I17" si="2">D6+D15</f>
        <v>0</v>
      </c>
      <c r="E17" s="171">
        <f t="shared" si="2"/>
        <v>0</v>
      </c>
      <c r="F17" s="171">
        <f t="shared" si="2"/>
        <v>0</v>
      </c>
      <c r="G17" s="171">
        <f t="shared" si="2"/>
        <v>0</v>
      </c>
      <c r="H17" s="171">
        <f t="shared" si="2"/>
        <v>0</v>
      </c>
      <c r="I17" s="171">
        <f t="shared" si="2"/>
        <v>0</v>
      </c>
    </row>
    <row r="18" spans="1:9" x14ac:dyDescent="0.15">
      <c r="A18" s="35"/>
      <c r="D18" s="170"/>
      <c r="E18" s="170"/>
      <c r="F18" s="170"/>
      <c r="G18" s="170"/>
      <c r="I18" s="167"/>
    </row>
    <row r="19" spans="1:9" x14ac:dyDescent="0.15">
      <c r="E19" s="159"/>
      <c r="F19" s="159"/>
      <c r="G19" s="159"/>
      <c r="I19" s="167"/>
    </row>
    <row r="20" spans="1:9" x14ac:dyDescent="0.15">
      <c r="A20" s="36" t="s">
        <v>198</v>
      </c>
      <c r="C20" s="210" t="s">
        <v>199</v>
      </c>
      <c r="E20" s="159"/>
      <c r="F20" s="159"/>
      <c r="G20" s="159"/>
      <c r="I20" s="167"/>
    </row>
    <row r="21" spans="1:9" x14ac:dyDescent="0.15">
      <c r="A21" s="115" t="s">
        <v>441</v>
      </c>
      <c r="B21" s="174" t="s">
        <v>1232</v>
      </c>
      <c r="C21" s="115" t="s">
        <v>232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564">
        <f t="shared" ref="I21:I28" si="3">SUM(G21+H21)</f>
        <v>0</v>
      </c>
    </row>
    <row r="22" spans="1:9" x14ac:dyDescent="0.15">
      <c r="A22" s="115" t="s">
        <v>247</v>
      </c>
      <c r="B22" s="174" t="s">
        <v>1240</v>
      </c>
      <c r="C22" s="115" t="s">
        <v>1508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564">
        <f t="shared" si="3"/>
        <v>0</v>
      </c>
    </row>
    <row r="23" spans="1:9" x14ac:dyDescent="0.15">
      <c r="A23" s="115" t="s">
        <v>428</v>
      </c>
      <c r="B23" s="174" t="s">
        <v>1244</v>
      </c>
      <c r="C23" s="115" t="s">
        <v>156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564">
        <f t="shared" si="3"/>
        <v>0</v>
      </c>
    </row>
    <row r="24" spans="1:9" x14ac:dyDescent="0.15">
      <c r="A24" s="115" t="s">
        <v>248</v>
      </c>
      <c r="B24" s="174" t="s">
        <v>1245</v>
      </c>
      <c r="C24" s="115" t="s">
        <v>161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564">
        <f t="shared" si="3"/>
        <v>0</v>
      </c>
    </row>
    <row r="25" spans="1:9" x14ac:dyDescent="0.15">
      <c r="A25" s="115" t="s">
        <v>249</v>
      </c>
      <c r="B25" s="174" t="s">
        <v>1241</v>
      </c>
      <c r="C25" s="115" t="s">
        <v>162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564">
        <f t="shared" si="3"/>
        <v>0</v>
      </c>
    </row>
    <row r="26" spans="1:9" x14ac:dyDescent="0.15">
      <c r="A26" s="115" t="s">
        <v>250</v>
      </c>
      <c r="B26" s="174" t="s">
        <v>1242</v>
      </c>
      <c r="C26" s="115" t="s">
        <v>165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si="3"/>
        <v>0</v>
      </c>
    </row>
    <row r="27" spans="1:9" x14ac:dyDescent="0.15">
      <c r="A27" s="115" t="s">
        <v>251</v>
      </c>
      <c r="B27" s="174" t="s">
        <v>1247</v>
      </c>
      <c r="C27" s="115" t="s">
        <v>1509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3"/>
        <v>0</v>
      </c>
    </row>
    <row r="28" spans="1:9" x14ac:dyDescent="0.15">
      <c r="A28" s="115" t="s">
        <v>1259</v>
      </c>
      <c r="B28" s="174" t="s">
        <v>1248</v>
      </c>
      <c r="C28" s="115" t="s">
        <v>1510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3"/>
        <v>0</v>
      </c>
    </row>
    <row r="29" spans="1:9" ht="11.25" thickBot="1" x14ac:dyDescent="0.2">
      <c r="A29" s="115"/>
      <c r="B29" s="167"/>
      <c r="C29" s="115"/>
      <c r="D29" s="14"/>
      <c r="F29" s="159"/>
      <c r="G29" s="159"/>
      <c r="I29" s="167"/>
    </row>
    <row r="30" spans="1:9" ht="12" thickTop="1" thickBot="1" x14ac:dyDescent="0.2">
      <c r="B30" s="174" t="s">
        <v>1249</v>
      </c>
      <c r="C30" s="35" t="s">
        <v>1515</v>
      </c>
      <c r="D30" s="169">
        <f t="shared" ref="D30:I30" si="4">SUM(D21:D28)</f>
        <v>0</v>
      </c>
      <c r="E30" s="169">
        <f t="shared" si="4"/>
        <v>0</v>
      </c>
      <c r="F30" s="169">
        <f t="shared" si="4"/>
        <v>0</v>
      </c>
      <c r="G30" s="169">
        <f t="shared" si="4"/>
        <v>0</v>
      </c>
      <c r="H30" s="169">
        <f t="shared" si="4"/>
        <v>0</v>
      </c>
      <c r="I30" s="169">
        <f t="shared" si="4"/>
        <v>0</v>
      </c>
    </row>
    <row r="31" spans="1:9" ht="11.25" thickTop="1" x14ac:dyDescent="0.15">
      <c r="E31" s="159"/>
      <c r="F31" s="159"/>
      <c r="G31" s="159"/>
      <c r="I31" s="167"/>
    </row>
    <row r="32" spans="1:9" x14ac:dyDescent="0.15">
      <c r="A32" s="155" t="s">
        <v>110</v>
      </c>
      <c r="C32" s="210" t="s">
        <v>737</v>
      </c>
      <c r="D32" s="159"/>
      <c r="E32" s="159"/>
      <c r="F32" s="159"/>
      <c r="G32" s="159"/>
      <c r="I32" s="167"/>
    </row>
    <row r="33" spans="1:9" x14ac:dyDescent="0.15">
      <c r="A33" s="154" t="s">
        <v>1522</v>
      </c>
      <c r="B33" s="160" t="s">
        <v>1250</v>
      </c>
      <c r="C33" s="115" t="s">
        <v>1516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>SUM(G33+H33)</f>
        <v>0</v>
      </c>
    </row>
    <row r="34" spans="1:9" x14ac:dyDescent="0.15">
      <c r="A34" s="154" t="s">
        <v>1523</v>
      </c>
      <c r="B34" s="160" t="s">
        <v>1251</v>
      </c>
      <c r="C34" s="115" t="s">
        <v>1517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564">
        <f>SUM(G34+H34)</f>
        <v>0</v>
      </c>
    </row>
    <row r="35" spans="1:9" x14ac:dyDescent="0.15">
      <c r="A35" s="154" t="s">
        <v>1524</v>
      </c>
      <c r="B35" s="160" t="s">
        <v>1252</v>
      </c>
      <c r="C35" s="115" t="s">
        <v>1518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>SUM(G35+H35)</f>
        <v>0</v>
      </c>
    </row>
    <row r="36" spans="1:9" ht="9.75" customHeight="1" x14ac:dyDescent="0.15">
      <c r="A36" s="725" t="s">
        <v>1675</v>
      </c>
      <c r="B36" s="726" t="s">
        <v>1253</v>
      </c>
      <c r="C36" s="692" t="s">
        <v>1676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>SUM(G36+H36)</f>
        <v>0</v>
      </c>
    </row>
    <row r="37" spans="1:9" ht="11.25" thickBot="1" x14ac:dyDescent="0.2">
      <c r="A37" s="154" t="s">
        <v>1526</v>
      </c>
      <c r="B37" s="160" t="s">
        <v>1254</v>
      </c>
      <c r="C37" s="115" t="s">
        <v>1520</v>
      </c>
      <c r="D37" s="150">
        <v>0</v>
      </c>
      <c r="E37" s="150">
        <v>0</v>
      </c>
      <c r="F37" s="150">
        <v>0</v>
      </c>
      <c r="G37" s="150">
        <v>0</v>
      </c>
      <c r="H37" s="41">
        <v>0</v>
      </c>
      <c r="I37" s="564">
        <f>SUM(G37+H37)</f>
        <v>0</v>
      </c>
    </row>
    <row r="38" spans="1:9" ht="12" thickTop="1" thickBot="1" x14ac:dyDescent="0.2">
      <c r="A38" s="149"/>
      <c r="B38" s="160" t="s">
        <v>1255</v>
      </c>
      <c r="C38" s="1" t="s">
        <v>1692</v>
      </c>
      <c r="D38" s="151">
        <f t="shared" ref="D38:I38" si="5">SUM(D33:D37)</f>
        <v>0</v>
      </c>
      <c r="E38" s="151">
        <f t="shared" si="5"/>
        <v>0</v>
      </c>
      <c r="F38" s="151">
        <f t="shared" si="5"/>
        <v>0</v>
      </c>
      <c r="G38" s="151">
        <f t="shared" si="5"/>
        <v>0</v>
      </c>
      <c r="H38" s="151">
        <f t="shared" si="5"/>
        <v>0</v>
      </c>
      <c r="I38" s="169">
        <f t="shared" si="5"/>
        <v>0</v>
      </c>
    </row>
    <row r="39" spans="1:9" ht="12" thickTop="1" thickBot="1" x14ac:dyDescent="0.2">
      <c r="A39" s="149"/>
      <c r="C39" s="115"/>
      <c r="D39" s="159"/>
      <c r="E39" s="159"/>
      <c r="F39" s="159"/>
      <c r="G39" s="159"/>
      <c r="I39" s="167"/>
    </row>
    <row r="40" spans="1:9" ht="11.25" thickBot="1" x14ac:dyDescent="0.2">
      <c r="A40" s="776" t="s">
        <v>1134</v>
      </c>
      <c r="B40" s="776"/>
      <c r="C40" s="783"/>
      <c r="D40" s="212">
        <f t="shared" ref="D40:I40" si="6">D30+D38</f>
        <v>0</v>
      </c>
      <c r="E40" s="212">
        <f t="shared" si="6"/>
        <v>0</v>
      </c>
      <c r="F40" s="212">
        <f t="shared" si="6"/>
        <v>0</v>
      </c>
      <c r="G40" s="212">
        <f t="shared" si="6"/>
        <v>0</v>
      </c>
      <c r="H40" s="212">
        <f t="shared" si="6"/>
        <v>0</v>
      </c>
      <c r="I40" s="212">
        <f t="shared" si="6"/>
        <v>0</v>
      </c>
    </row>
    <row r="41" spans="1:9" x14ac:dyDescent="0.15">
      <c r="A41" s="149"/>
      <c r="C41" s="115" t="s">
        <v>725</v>
      </c>
      <c r="D41" s="159"/>
      <c r="E41" s="159"/>
      <c r="F41" s="159"/>
      <c r="G41" s="159"/>
      <c r="I41" s="167"/>
    </row>
    <row r="42" spans="1:9" ht="11.25" thickBot="1" x14ac:dyDescent="0.2">
      <c r="A42" s="149"/>
      <c r="C42" s="115"/>
      <c r="D42" s="159"/>
      <c r="E42" s="159"/>
      <c r="F42" s="159"/>
      <c r="G42" s="159"/>
      <c r="I42" s="167"/>
    </row>
    <row r="43" spans="1:9" ht="12" thickTop="1" thickBot="1" x14ac:dyDescent="0.2">
      <c r="C43" s="172" t="s">
        <v>726</v>
      </c>
      <c r="D43" s="173">
        <f t="shared" ref="D43:I43" si="7">D17</f>
        <v>0</v>
      </c>
      <c r="E43" s="173">
        <f t="shared" si="7"/>
        <v>0</v>
      </c>
      <c r="F43" s="173">
        <f t="shared" si="7"/>
        <v>0</v>
      </c>
      <c r="G43" s="173">
        <f t="shared" si="7"/>
        <v>0</v>
      </c>
      <c r="H43" s="173">
        <f t="shared" si="7"/>
        <v>0</v>
      </c>
      <c r="I43" s="173">
        <f t="shared" si="7"/>
        <v>0</v>
      </c>
    </row>
    <row r="44" spans="1:9" ht="11.25" thickTop="1" x14ac:dyDescent="0.15">
      <c r="D44" s="158"/>
      <c r="I44" s="167"/>
    </row>
    <row r="45" spans="1:9" x14ac:dyDescent="0.15">
      <c r="C45" s="172" t="s">
        <v>727</v>
      </c>
      <c r="D45" s="158">
        <f t="shared" ref="D45:I45" si="8">D40-D43</f>
        <v>0</v>
      </c>
      <c r="E45" s="158">
        <f t="shared" si="8"/>
        <v>0</v>
      </c>
      <c r="F45" s="158">
        <f t="shared" si="8"/>
        <v>0</v>
      </c>
      <c r="G45" s="158">
        <f t="shared" si="8"/>
        <v>0</v>
      </c>
      <c r="H45" s="158">
        <f t="shared" si="8"/>
        <v>0</v>
      </c>
      <c r="I45" s="167">
        <f t="shared" si="8"/>
        <v>0</v>
      </c>
    </row>
    <row r="46" spans="1:9" x14ac:dyDescent="0.15">
      <c r="I46" s="167"/>
    </row>
    <row r="48" spans="1:9" x14ac:dyDescent="0.15">
      <c r="A48" s="208" t="s">
        <v>1138</v>
      </c>
    </row>
  </sheetData>
  <sheetProtection formatCells="0" formatColumns="0" formatRows="0"/>
  <mergeCells count="1">
    <mergeCell ref="A40:C40"/>
  </mergeCells>
  <phoneticPr fontId="15" type="noConversion"/>
  <pageMargins left="0.5" right="0.5" top="0.75" bottom="0.75" header="0.5" footer="0.5"/>
  <pageSetup scale="65" firstPageNumber="39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opLeftCell="A70" zoomScaleNormal="100" workbookViewId="0">
      <selection activeCell="D4" sqref="D4"/>
    </sheetView>
  </sheetViews>
  <sheetFormatPr defaultRowHeight="10.5" x14ac:dyDescent="0.15"/>
  <cols>
    <col min="1" max="1" width="10" style="158" customWidth="1"/>
    <col min="2" max="2" width="3.5" style="158" customWidth="1"/>
    <col min="3" max="3" width="70.83203125" style="158" customWidth="1"/>
    <col min="4" max="4" width="15.83203125" style="158" customWidth="1"/>
    <col min="5" max="5" width="17.83203125" style="158" customWidth="1"/>
    <col min="6" max="6" width="19" style="158" customWidth="1"/>
    <col min="7" max="7" width="15.83203125" style="158" customWidth="1"/>
    <col min="8" max="8" width="16.83203125" style="158" customWidth="1"/>
    <col min="9" max="9" width="14.1640625" style="158" customWidth="1"/>
    <col min="10" max="16384" width="9.33203125" style="158"/>
  </cols>
  <sheetData>
    <row r="1" spans="1:9" x14ac:dyDescent="0.15">
      <c r="A1" s="158" t="s">
        <v>106</v>
      </c>
      <c r="C1" s="163">
        <f>+'Page 1 - FY2014-15'!B5</f>
        <v>0</v>
      </c>
      <c r="D1" s="163" t="s">
        <v>1586</v>
      </c>
      <c r="E1" s="164">
        <f>+'Page 1 - FY2014-15'!F7</f>
        <v>0</v>
      </c>
      <c r="G1" s="38" t="s">
        <v>1588</v>
      </c>
    </row>
    <row r="2" spans="1:9" x14ac:dyDescent="0.15">
      <c r="A2" s="134" t="s">
        <v>543</v>
      </c>
    </row>
    <row r="3" spans="1:9" ht="42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1589</v>
      </c>
      <c r="D6" s="39"/>
      <c r="E6" s="39"/>
      <c r="F6" s="39"/>
      <c r="G6" s="39"/>
      <c r="H6" s="39"/>
      <c r="I6" s="171">
        <f>SUM(G6+H6)</f>
        <v>0</v>
      </c>
    </row>
    <row r="7" spans="1:9" x14ac:dyDescent="0.15">
      <c r="A7" s="36" t="s">
        <v>1592</v>
      </c>
      <c r="C7" s="210" t="s">
        <v>196</v>
      </c>
      <c r="E7" s="159"/>
      <c r="F7" s="159"/>
      <c r="G7" s="159"/>
      <c r="I7" s="167"/>
    </row>
    <row r="8" spans="1:9" x14ac:dyDescent="0.15">
      <c r="A8" s="115" t="s">
        <v>1595</v>
      </c>
      <c r="B8" s="160" t="s">
        <v>1159</v>
      </c>
      <c r="C8" s="115" t="s">
        <v>206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SUM(G8+H8)</f>
        <v>0</v>
      </c>
    </row>
    <row r="9" spans="1:9" x14ac:dyDescent="0.15">
      <c r="A9" s="115" t="s">
        <v>1596</v>
      </c>
      <c r="B9" s="160" t="s">
        <v>1160</v>
      </c>
      <c r="C9" s="115" t="s">
        <v>257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23" si="0">SUM(G9+H9)</f>
        <v>0</v>
      </c>
    </row>
    <row r="10" spans="1:9" x14ac:dyDescent="0.15">
      <c r="A10" s="152" t="s">
        <v>205</v>
      </c>
      <c r="B10" s="160" t="s">
        <v>1161</v>
      </c>
      <c r="C10" s="115" t="s">
        <v>207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15" t="s">
        <v>1602</v>
      </c>
      <c r="B11" s="160" t="s">
        <v>1228</v>
      </c>
      <c r="C11" s="115" t="s">
        <v>443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15" t="s">
        <v>1157</v>
      </c>
      <c r="B12" s="160" t="s">
        <v>1229</v>
      </c>
      <c r="C12" s="115" t="s">
        <v>208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52" t="s">
        <v>95</v>
      </c>
      <c r="B13" s="160" t="s">
        <v>1230</v>
      </c>
      <c r="C13" s="115" t="s">
        <v>1149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15" t="s">
        <v>97</v>
      </c>
      <c r="B14" s="160" t="s">
        <v>1231</v>
      </c>
      <c r="C14" s="115" t="s">
        <v>452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52" t="s">
        <v>759</v>
      </c>
      <c r="B15" s="160" t="s">
        <v>1232</v>
      </c>
      <c r="C15" s="115" t="s">
        <v>453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152" t="s">
        <v>760</v>
      </c>
      <c r="B16" s="160" t="s">
        <v>1240</v>
      </c>
      <c r="C16" s="115" t="s">
        <v>209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x14ac:dyDescent="0.15">
      <c r="A17" s="152" t="s">
        <v>210</v>
      </c>
      <c r="B17" s="160" t="s">
        <v>1244</v>
      </c>
      <c r="C17" s="115" t="s">
        <v>211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9" x14ac:dyDescent="0.15">
      <c r="A18" s="152" t="s">
        <v>440</v>
      </c>
      <c r="B18" s="160" t="s">
        <v>1245</v>
      </c>
      <c r="C18" s="115" t="s">
        <v>1151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564">
        <f t="shared" si="0"/>
        <v>0</v>
      </c>
    </row>
    <row r="19" spans="1:9" x14ac:dyDescent="0.15">
      <c r="A19" s="162" t="s">
        <v>105</v>
      </c>
      <c r="B19" s="174" t="s">
        <v>1241</v>
      </c>
      <c r="C19" s="2" t="s">
        <v>860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564">
        <f t="shared" si="0"/>
        <v>0</v>
      </c>
    </row>
    <row r="20" spans="1:9" x14ac:dyDescent="0.15">
      <c r="A20" s="168" t="s">
        <v>537</v>
      </c>
      <c r="B20" s="174" t="s">
        <v>1260</v>
      </c>
      <c r="C20" s="138" t="s">
        <v>538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564">
        <f t="shared" si="0"/>
        <v>0</v>
      </c>
    </row>
    <row r="21" spans="1:9" x14ac:dyDescent="0.15">
      <c r="A21" s="168" t="s">
        <v>536</v>
      </c>
      <c r="B21" s="174" t="s">
        <v>1247</v>
      </c>
      <c r="C21" s="138" t="s">
        <v>115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564">
        <f t="shared" si="0"/>
        <v>0</v>
      </c>
    </row>
    <row r="22" spans="1:9" x14ac:dyDescent="0.15">
      <c r="A22" s="115" t="s">
        <v>197</v>
      </c>
      <c r="B22" s="174" t="s">
        <v>1248</v>
      </c>
      <c r="C22" s="653" t="s">
        <v>1156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564">
        <f t="shared" si="0"/>
        <v>0</v>
      </c>
    </row>
    <row r="23" spans="1:9" x14ac:dyDescent="0.15">
      <c r="B23" s="174" t="s">
        <v>1249</v>
      </c>
      <c r="C23" s="115" t="s">
        <v>212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564">
        <f t="shared" si="0"/>
        <v>0</v>
      </c>
    </row>
    <row r="24" spans="1:9" ht="11.25" thickBot="1" x14ac:dyDescent="0.2">
      <c r="C24" s="115"/>
      <c r="D24" s="14"/>
      <c r="E24" s="14"/>
      <c r="F24" s="14"/>
      <c r="G24" s="14"/>
      <c r="I24" s="167"/>
    </row>
    <row r="25" spans="1:9" ht="12" thickTop="1" thickBot="1" x14ac:dyDescent="0.2">
      <c r="B25" s="174" t="s">
        <v>1250</v>
      </c>
      <c r="C25" s="35" t="s">
        <v>1135</v>
      </c>
      <c r="D25" s="169">
        <f t="shared" ref="D25:I25" si="1">SUM(D8:D23)</f>
        <v>0</v>
      </c>
      <c r="E25" s="169">
        <f t="shared" si="1"/>
        <v>0</v>
      </c>
      <c r="F25" s="169">
        <f t="shared" si="1"/>
        <v>0</v>
      </c>
      <c r="G25" s="169">
        <f t="shared" si="1"/>
        <v>0</v>
      </c>
      <c r="H25" s="169">
        <f t="shared" si="1"/>
        <v>0</v>
      </c>
      <c r="I25" s="169">
        <f t="shared" si="1"/>
        <v>0</v>
      </c>
    </row>
    <row r="26" spans="1:9" ht="12" thickTop="1" thickBot="1" x14ac:dyDescent="0.2">
      <c r="C26" s="152"/>
      <c r="D26" s="170"/>
      <c r="E26" s="170"/>
      <c r="F26" s="170"/>
      <c r="G26" s="170"/>
      <c r="I26" s="167"/>
    </row>
    <row r="27" spans="1:9" ht="10.5" customHeight="1" thickBot="1" x14ac:dyDescent="0.2">
      <c r="A27" s="35" t="s">
        <v>1616</v>
      </c>
      <c r="D27" s="171">
        <f t="shared" ref="D27:I27" si="2">D6+D25</f>
        <v>0</v>
      </c>
      <c r="E27" s="171">
        <f t="shared" si="2"/>
        <v>0</v>
      </c>
      <c r="F27" s="171">
        <f t="shared" si="2"/>
        <v>0</v>
      </c>
      <c r="G27" s="171">
        <f t="shared" si="2"/>
        <v>0</v>
      </c>
      <c r="H27" s="171">
        <f t="shared" si="2"/>
        <v>0</v>
      </c>
      <c r="I27" s="171">
        <f t="shared" si="2"/>
        <v>0</v>
      </c>
    </row>
    <row r="28" spans="1:9" ht="10.5" customHeight="1" x14ac:dyDescent="0.15">
      <c r="A28" s="35"/>
      <c r="D28" s="170"/>
      <c r="E28" s="170"/>
      <c r="F28" s="170"/>
      <c r="G28" s="170"/>
      <c r="I28" s="167"/>
    </row>
    <row r="29" spans="1:9" x14ac:dyDescent="0.15">
      <c r="A29" s="660" t="s">
        <v>824</v>
      </c>
      <c r="B29" s="424"/>
      <c r="C29" s="495" t="s">
        <v>816</v>
      </c>
      <c r="D29" s="423"/>
      <c r="E29" s="423"/>
      <c r="F29" s="423"/>
      <c r="G29" s="423"/>
      <c r="H29" s="423"/>
      <c r="I29" s="179"/>
    </row>
    <row r="30" spans="1:9" x14ac:dyDescent="0.15">
      <c r="A30" s="436" t="s">
        <v>105</v>
      </c>
      <c r="B30" s="501" t="s">
        <v>1338</v>
      </c>
      <c r="C30" s="2" t="s">
        <v>827</v>
      </c>
      <c r="D30" s="41">
        <v>0</v>
      </c>
      <c r="E30" s="41">
        <v>0</v>
      </c>
      <c r="F30" s="41">
        <v>0</v>
      </c>
      <c r="G30" s="41">
        <v>0</v>
      </c>
      <c r="H30" s="534">
        <v>0</v>
      </c>
      <c r="I30" s="535">
        <f>SUM(G30+H30)</f>
        <v>0</v>
      </c>
    </row>
    <row r="31" spans="1:9" x14ac:dyDescent="0.15">
      <c r="A31" s="436"/>
      <c r="B31" s="501"/>
      <c r="C31" s="2"/>
      <c r="D31" s="14"/>
      <c r="E31" s="14"/>
      <c r="F31" s="14"/>
      <c r="G31" s="14"/>
      <c r="H31" s="308"/>
      <c r="I31" s="305"/>
    </row>
    <row r="32" spans="1:9" x14ac:dyDescent="0.15">
      <c r="E32" s="159"/>
      <c r="F32" s="159"/>
      <c r="G32" s="159"/>
      <c r="I32" s="167"/>
    </row>
    <row r="33" spans="1:9" x14ac:dyDescent="0.15">
      <c r="A33" s="36" t="s">
        <v>198</v>
      </c>
      <c r="C33" s="210" t="s">
        <v>199</v>
      </c>
      <c r="E33" s="159"/>
      <c r="F33" s="159"/>
      <c r="G33" s="159"/>
      <c r="I33" s="167"/>
    </row>
    <row r="34" spans="1:9" x14ac:dyDescent="0.15">
      <c r="A34" s="36"/>
      <c r="B34" s="40"/>
      <c r="C34" s="158" t="s">
        <v>1190</v>
      </c>
      <c r="E34" s="159"/>
      <c r="F34" s="159"/>
      <c r="G34" s="159"/>
      <c r="I34" s="167"/>
    </row>
    <row r="35" spans="1:9" x14ac:dyDescent="0.15">
      <c r="A35" s="152" t="s">
        <v>1577</v>
      </c>
      <c r="B35" s="160" t="s">
        <v>1251</v>
      </c>
      <c r="C35" s="115" t="s">
        <v>230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 t="shared" ref="I35:I49" si="3">SUM(G35+H35)</f>
        <v>0</v>
      </c>
    </row>
    <row r="36" spans="1:9" x14ac:dyDescent="0.15">
      <c r="A36" s="152" t="s">
        <v>1578</v>
      </c>
      <c r="B36" s="174" t="s">
        <v>1252</v>
      </c>
      <c r="C36" s="115" t="s">
        <v>231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si="3"/>
        <v>0</v>
      </c>
    </row>
    <row r="37" spans="1:9" x14ac:dyDescent="0.15">
      <c r="A37" s="152" t="s">
        <v>1579</v>
      </c>
      <c r="B37" s="174" t="s">
        <v>1253</v>
      </c>
      <c r="C37" s="115" t="s">
        <v>1246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3"/>
        <v>0</v>
      </c>
    </row>
    <row r="38" spans="1:9" x14ac:dyDescent="0.15">
      <c r="A38" s="160" t="s">
        <v>1580</v>
      </c>
      <c r="B38" s="174" t="s">
        <v>1254</v>
      </c>
      <c r="C38" s="172" t="s">
        <v>412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3"/>
        <v>0</v>
      </c>
    </row>
    <row r="39" spans="1:9" x14ac:dyDescent="0.15">
      <c r="A39" s="152" t="s">
        <v>1581</v>
      </c>
      <c r="B39" s="174" t="s">
        <v>1255</v>
      </c>
      <c r="C39" s="115" t="s">
        <v>124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3"/>
        <v>0</v>
      </c>
    </row>
    <row r="40" spans="1:9" x14ac:dyDescent="0.15">
      <c r="A40" s="152" t="s">
        <v>1582</v>
      </c>
      <c r="B40" s="174" t="s">
        <v>1260</v>
      </c>
      <c r="C40" s="115" t="s">
        <v>156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 t="shared" si="3"/>
        <v>0</v>
      </c>
    </row>
    <row r="41" spans="1:9" x14ac:dyDescent="0.15">
      <c r="A41" s="152" t="s">
        <v>1583</v>
      </c>
      <c r="B41" s="152" t="s">
        <v>1261</v>
      </c>
      <c r="C41" s="158" t="s">
        <v>160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3"/>
        <v>0</v>
      </c>
    </row>
    <row r="42" spans="1:9" x14ac:dyDescent="0.15">
      <c r="A42" s="115" t="s">
        <v>200</v>
      </c>
      <c r="B42" s="160" t="s">
        <v>1262</v>
      </c>
      <c r="C42" s="115" t="s">
        <v>161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 t="shared" si="3"/>
        <v>0</v>
      </c>
    </row>
    <row r="43" spans="1:9" x14ac:dyDescent="0.15">
      <c r="A43" s="152" t="s">
        <v>201</v>
      </c>
      <c r="B43" s="160" t="s">
        <v>1263</v>
      </c>
      <c r="C43" s="115" t="s">
        <v>162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 t="shared" si="3"/>
        <v>0</v>
      </c>
    </row>
    <row r="44" spans="1:9" x14ac:dyDescent="0.15">
      <c r="A44" s="152" t="s">
        <v>158</v>
      </c>
      <c r="B44" s="160" t="s">
        <v>1265</v>
      </c>
      <c r="C44" s="115" t="s">
        <v>464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564">
        <f t="shared" si="3"/>
        <v>0</v>
      </c>
    </row>
    <row r="45" spans="1:9" x14ac:dyDescent="0.15">
      <c r="A45" s="152" t="s">
        <v>159</v>
      </c>
      <c r="B45" s="160" t="s">
        <v>1266</v>
      </c>
      <c r="C45" s="172" t="s">
        <v>465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564">
        <f t="shared" si="3"/>
        <v>0</v>
      </c>
    </row>
    <row r="46" spans="1:9" x14ac:dyDescent="0.15">
      <c r="A46" s="152" t="s">
        <v>466</v>
      </c>
      <c r="B46" s="160" t="s">
        <v>1267</v>
      </c>
      <c r="C46" s="172" t="s">
        <v>468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564">
        <f t="shared" si="3"/>
        <v>0</v>
      </c>
    </row>
    <row r="47" spans="1:9" x14ac:dyDescent="0.15">
      <c r="A47" s="152" t="s">
        <v>250</v>
      </c>
      <c r="B47" s="160" t="s">
        <v>1268</v>
      </c>
      <c r="C47" s="115" t="s">
        <v>409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564">
        <f t="shared" si="3"/>
        <v>0</v>
      </c>
    </row>
    <row r="48" spans="1:9" x14ac:dyDescent="0.15">
      <c r="A48" s="652" t="s">
        <v>631</v>
      </c>
      <c r="B48" s="655" t="s">
        <v>1269</v>
      </c>
      <c r="C48" s="653" t="s">
        <v>173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564">
        <f t="shared" si="3"/>
        <v>0</v>
      </c>
    </row>
    <row r="49" spans="1:9" x14ac:dyDescent="0.15">
      <c r="B49" s="174" t="s">
        <v>1270</v>
      </c>
      <c r="C49" s="115" t="s">
        <v>1572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564">
        <f t="shared" si="3"/>
        <v>0</v>
      </c>
    </row>
    <row r="50" spans="1:9" ht="11.25" thickBot="1" x14ac:dyDescent="0.2">
      <c r="C50" s="115"/>
      <c r="D50" s="14"/>
      <c r="E50" s="14"/>
      <c r="F50" s="14"/>
      <c r="G50" s="14"/>
      <c r="I50" s="167"/>
    </row>
    <row r="51" spans="1:9" ht="12" thickTop="1" thickBot="1" x14ac:dyDescent="0.2">
      <c r="B51" s="174" t="s">
        <v>1271</v>
      </c>
      <c r="C51" s="115" t="s">
        <v>552</v>
      </c>
      <c r="D51" s="156">
        <f t="shared" ref="D51:I51" si="4">SUM(D35:D50)</f>
        <v>0</v>
      </c>
      <c r="E51" s="156">
        <f t="shared" si="4"/>
        <v>0</v>
      </c>
      <c r="F51" s="156">
        <f t="shared" si="4"/>
        <v>0</v>
      </c>
      <c r="G51" s="156">
        <f t="shared" si="4"/>
        <v>0</v>
      </c>
      <c r="H51" s="156">
        <f t="shared" si="4"/>
        <v>0</v>
      </c>
      <c r="I51" s="173">
        <f t="shared" si="4"/>
        <v>0</v>
      </c>
    </row>
    <row r="52" spans="1:9" ht="11.25" thickTop="1" x14ac:dyDescent="0.15">
      <c r="C52" s="115"/>
      <c r="D52" s="14"/>
      <c r="E52" s="14"/>
      <c r="F52" s="14"/>
      <c r="G52" s="14"/>
      <c r="I52" s="167"/>
    </row>
    <row r="53" spans="1:9" x14ac:dyDescent="0.15">
      <c r="C53" s="172" t="s">
        <v>411</v>
      </c>
      <c r="D53" s="14"/>
      <c r="E53" s="14"/>
      <c r="F53" s="14"/>
      <c r="G53" s="14"/>
      <c r="I53" s="167"/>
    </row>
    <row r="54" spans="1:9" x14ac:dyDescent="0.15">
      <c r="A54" s="152" t="s">
        <v>1577</v>
      </c>
      <c r="B54" s="174" t="s">
        <v>1272</v>
      </c>
      <c r="C54" s="115" t="s">
        <v>230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564">
        <f t="shared" ref="I54:I68" si="5">SUM(G54+H54)</f>
        <v>0</v>
      </c>
    </row>
    <row r="55" spans="1:9" x14ac:dyDescent="0.15">
      <c r="A55" s="152" t="s">
        <v>1578</v>
      </c>
      <c r="B55" s="174" t="s">
        <v>1273</v>
      </c>
      <c r="C55" s="115" t="s">
        <v>231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564">
        <f t="shared" si="5"/>
        <v>0</v>
      </c>
    </row>
    <row r="56" spans="1:9" x14ac:dyDescent="0.15">
      <c r="A56" s="152" t="s">
        <v>1579</v>
      </c>
      <c r="B56" s="174" t="s">
        <v>1274</v>
      </c>
      <c r="C56" s="115" t="s">
        <v>1246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564">
        <f t="shared" si="5"/>
        <v>0</v>
      </c>
    </row>
    <row r="57" spans="1:9" x14ac:dyDescent="0.15">
      <c r="A57" s="160" t="s">
        <v>1580</v>
      </c>
      <c r="B57" s="174" t="s">
        <v>252</v>
      </c>
      <c r="C57" s="172" t="s">
        <v>412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564">
        <f t="shared" si="5"/>
        <v>0</v>
      </c>
    </row>
    <row r="58" spans="1:9" x14ac:dyDescent="0.15">
      <c r="A58" s="152" t="s">
        <v>1581</v>
      </c>
      <c r="B58" s="174" t="s">
        <v>253</v>
      </c>
      <c r="C58" s="115" t="s">
        <v>124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564">
        <f t="shared" si="5"/>
        <v>0</v>
      </c>
    </row>
    <row r="59" spans="1:9" x14ac:dyDescent="0.15">
      <c r="A59" s="152" t="s">
        <v>1582</v>
      </c>
      <c r="B59" s="174" t="s">
        <v>1276</v>
      </c>
      <c r="C59" s="115" t="s">
        <v>156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564">
        <f t="shared" si="5"/>
        <v>0</v>
      </c>
    </row>
    <row r="60" spans="1:9" x14ac:dyDescent="0.15">
      <c r="A60" s="152" t="s">
        <v>1583</v>
      </c>
      <c r="B60" s="152" t="s">
        <v>1277</v>
      </c>
      <c r="C60" s="158" t="s">
        <v>160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564">
        <f t="shared" si="5"/>
        <v>0</v>
      </c>
    </row>
    <row r="61" spans="1:9" x14ac:dyDescent="0.15">
      <c r="A61" s="115" t="s">
        <v>200</v>
      </c>
      <c r="B61" s="174" t="s">
        <v>1278</v>
      </c>
      <c r="C61" s="115" t="s">
        <v>161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564">
        <f t="shared" si="5"/>
        <v>0</v>
      </c>
    </row>
    <row r="62" spans="1:9" x14ac:dyDescent="0.15">
      <c r="A62" s="152" t="s">
        <v>201</v>
      </c>
      <c r="B62" s="174" t="s">
        <v>1279</v>
      </c>
      <c r="C62" s="115" t="s">
        <v>162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564">
        <f t="shared" si="5"/>
        <v>0</v>
      </c>
    </row>
    <row r="63" spans="1:9" x14ac:dyDescent="0.15">
      <c r="A63" s="152" t="s">
        <v>158</v>
      </c>
      <c r="B63" s="174" t="s">
        <v>1280</v>
      </c>
      <c r="C63" s="115" t="s">
        <v>464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564">
        <f t="shared" si="5"/>
        <v>0</v>
      </c>
    </row>
    <row r="64" spans="1:9" x14ac:dyDescent="0.15">
      <c r="A64" s="152" t="s">
        <v>159</v>
      </c>
      <c r="B64" s="174" t="s">
        <v>1281</v>
      </c>
      <c r="C64" s="172" t="s">
        <v>465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564">
        <f t="shared" si="5"/>
        <v>0</v>
      </c>
    </row>
    <row r="65" spans="1:9" x14ac:dyDescent="0.15">
      <c r="A65" s="152" t="s">
        <v>466</v>
      </c>
      <c r="B65" s="174" t="s">
        <v>1282</v>
      </c>
      <c r="C65" s="172" t="s">
        <v>468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564">
        <f t="shared" si="5"/>
        <v>0</v>
      </c>
    </row>
    <row r="66" spans="1:9" x14ac:dyDescent="0.15">
      <c r="A66" s="152" t="s">
        <v>250</v>
      </c>
      <c r="B66" s="160" t="s">
        <v>1287</v>
      </c>
      <c r="C66" s="115" t="s">
        <v>409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564">
        <f t="shared" si="5"/>
        <v>0</v>
      </c>
    </row>
    <row r="67" spans="1:9" x14ac:dyDescent="0.15">
      <c r="A67" s="652" t="s">
        <v>631</v>
      </c>
      <c r="B67" s="654" t="s">
        <v>1288</v>
      </c>
      <c r="C67" s="653" t="s">
        <v>173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564">
        <f t="shared" si="5"/>
        <v>0</v>
      </c>
    </row>
    <row r="68" spans="1:9" x14ac:dyDescent="0.15">
      <c r="B68" s="160" t="s">
        <v>1289</v>
      </c>
      <c r="C68" s="115" t="s">
        <v>1572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564">
        <f t="shared" si="5"/>
        <v>0</v>
      </c>
    </row>
    <row r="69" spans="1:9" ht="11.25" thickBot="1" x14ac:dyDescent="0.2">
      <c r="B69" s="174"/>
      <c r="C69" s="115"/>
      <c r="D69" s="14"/>
      <c r="E69" s="14"/>
      <c r="F69" s="14"/>
      <c r="G69" s="14"/>
      <c r="I69" s="167"/>
    </row>
    <row r="70" spans="1:9" ht="12" thickTop="1" thickBot="1" x14ac:dyDescent="0.2">
      <c r="B70" s="174" t="s">
        <v>1290</v>
      </c>
      <c r="C70" s="172" t="s">
        <v>553</v>
      </c>
      <c r="D70" s="156">
        <f t="shared" ref="D70:I70" si="6">SUM(D54:D69)</f>
        <v>0</v>
      </c>
      <c r="E70" s="156">
        <f t="shared" si="6"/>
        <v>0</v>
      </c>
      <c r="F70" s="156">
        <f t="shared" si="6"/>
        <v>0</v>
      </c>
      <c r="G70" s="156">
        <f t="shared" si="6"/>
        <v>0</v>
      </c>
      <c r="H70" s="156">
        <f t="shared" si="6"/>
        <v>0</v>
      </c>
      <c r="I70" s="156">
        <f t="shared" si="6"/>
        <v>0</v>
      </c>
    </row>
    <row r="71" spans="1:9" ht="11.25" thickTop="1" x14ac:dyDescent="0.15">
      <c r="C71" s="115"/>
      <c r="D71" s="14"/>
      <c r="E71" s="14"/>
      <c r="F71" s="14"/>
      <c r="G71" s="14"/>
      <c r="I71" s="167"/>
    </row>
    <row r="72" spans="1:9" x14ac:dyDescent="0.15">
      <c r="B72" s="174"/>
      <c r="C72" s="115" t="s">
        <v>391</v>
      </c>
      <c r="D72" s="14"/>
      <c r="E72" s="14"/>
      <c r="F72" s="14"/>
      <c r="G72" s="14"/>
      <c r="I72" s="167"/>
    </row>
    <row r="73" spans="1:9" x14ac:dyDescent="0.15">
      <c r="A73" s="160" t="s">
        <v>434</v>
      </c>
      <c r="B73" s="160" t="s">
        <v>1291</v>
      </c>
      <c r="C73" s="115" t="s">
        <v>413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564">
        <f>SUM(G73+H73)</f>
        <v>0</v>
      </c>
    </row>
    <row r="74" spans="1:9" x14ac:dyDescent="0.15">
      <c r="A74" s="160" t="s">
        <v>433</v>
      </c>
      <c r="B74" s="160" t="s">
        <v>1292</v>
      </c>
      <c r="C74" s="115" t="s">
        <v>414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564">
        <f>SUM(G74+H74)</f>
        <v>0</v>
      </c>
    </row>
    <row r="75" spans="1:9" x14ac:dyDescent="0.15">
      <c r="A75" s="495" t="s">
        <v>853</v>
      </c>
      <c r="B75" s="511"/>
      <c r="C75" s="138"/>
      <c r="D75" s="161"/>
      <c r="E75" s="161"/>
      <c r="F75" s="161"/>
      <c r="G75" s="161"/>
      <c r="H75" s="291"/>
      <c r="I75" s="671"/>
    </row>
    <row r="76" spans="1:9" x14ac:dyDescent="0.15">
      <c r="A76" s="423"/>
      <c r="B76" s="511"/>
      <c r="C76" s="658" t="s">
        <v>852</v>
      </c>
      <c r="D76" s="529">
        <f t="shared" ref="D76:I76" si="7">+D30</f>
        <v>0</v>
      </c>
      <c r="E76" s="529">
        <f t="shared" si="7"/>
        <v>0</v>
      </c>
      <c r="F76" s="529">
        <f t="shared" si="7"/>
        <v>0</v>
      </c>
      <c r="G76" s="529">
        <f t="shared" si="7"/>
        <v>0</v>
      </c>
      <c r="H76" s="529">
        <f t="shared" si="7"/>
        <v>0</v>
      </c>
      <c r="I76" s="529">
        <f t="shared" si="7"/>
        <v>0</v>
      </c>
    </row>
    <row r="77" spans="1:9" ht="11.25" thickBot="1" x14ac:dyDescent="0.2">
      <c r="C77" s="115"/>
      <c r="D77" s="14"/>
      <c r="E77" s="14"/>
      <c r="F77" s="14"/>
      <c r="G77" s="14"/>
      <c r="I77" s="167"/>
    </row>
    <row r="78" spans="1:9" ht="12" thickTop="1" thickBot="1" x14ac:dyDescent="0.2">
      <c r="B78" s="160" t="s">
        <v>1293</v>
      </c>
      <c r="C78" s="115" t="s">
        <v>555</v>
      </c>
      <c r="D78" s="157">
        <f t="shared" ref="D78:I78" si="8">SUM(D73:D77)</f>
        <v>0</v>
      </c>
      <c r="E78" s="157">
        <f t="shared" si="8"/>
        <v>0</v>
      </c>
      <c r="F78" s="157">
        <f t="shared" si="8"/>
        <v>0</v>
      </c>
      <c r="G78" s="157">
        <f t="shared" si="8"/>
        <v>0</v>
      </c>
      <c r="H78" s="157">
        <f t="shared" si="8"/>
        <v>0</v>
      </c>
      <c r="I78" s="173">
        <f t="shared" si="8"/>
        <v>0</v>
      </c>
    </row>
    <row r="79" spans="1:9" ht="12" thickTop="1" thickBot="1" x14ac:dyDescent="0.2">
      <c r="C79" s="115"/>
      <c r="D79" s="14"/>
      <c r="E79" s="14"/>
      <c r="F79" s="14"/>
      <c r="G79" s="14"/>
      <c r="I79" s="167"/>
    </row>
    <row r="80" spans="1:9" ht="12" thickTop="1" thickBot="1" x14ac:dyDescent="0.2">
      <c r="B80" s="160" t="s">
        <v>1294</v>
      </c>
      <c r="C80" s="35" t="s">
        <v>556</v>
      </c>
      <c r="D80" s="169">
        <f t="shared" ref="D80:I80" si="9">D51+D70+D78</f>
        <v>0</v>
      </c>
      <c r="E80" s="169">
        <f t="shared" si="9"/>
        <v>0</v>
      </c>
      <c r="F80" s="169">
        <f t="shared" si="9"/>
        <v>0</v>
      </c>
      <c r="G80" s="169">
        <f t="shared" si="9"/>
        <v>0</v>
      </c>
      <c r="H80" s="169">
        <f t="shared" si="9"/>
        <v>0</v>
      </c>
      <c r="I80" s="169">
        <f t="shared" si="9"/>
        <v>0</v>
      </c>
    </row>
    <row r="81" spans="1:9" ht="11.25" thickTop="1" x14ac:dyDescent="0.15">
      <c r="E81" s="159"/>
      <c r="F81" s="159"/>
      <c r="G81" s="159"/>
      <c r="I81" s="167"/>
    </row>
    <row r="82" spans="1:9" x14ac:dyDescent="0.15">
      <c r="A82" s="155" t="s">
        <v>110</v>
      </c>
      <c r="C82" s="210" t="s">
        <v>737</v>
      </c>
      <c r="D82" s="159"/>
      <c r="E82" s="159"/>
      <c r="F82" s="159"/>
      <c r="G82" s="159"/>
      <c r="I82" s="167"/>
    </row>
    <row r="83" spans="1:9" x14ac:dyDescent="0.15">
      <c r="A83" s="154" t="s">
        <v>1522</v>
      </c>
      <c r="B83" s="160" t="s">
        <v>1295</v>
      </c>
      <c r="C83" s="115" t="s">
        <v>1516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564">
        <f>SUM(G83+H83)</f>
        <v>0</v>
      </c>
    </row>
    <row r="84" spans="1:9" x14ac:dyDescent="0.15">
      <c r="A84" s="154" t="s">
        <v>1523</v>
      </c>
      <c r="B84" s="160" t="s">
        <v>1296</v>
      </c>
      <c r="C84" s="115" t="s">
        <v>1517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564">
        <f>SUM(G84+H84)</f>
        <v>0</v>
      </c>
    </row>
    <row r="85" spans="1:9" x14ac:dyDescent="0.15">
      <c r="A85" s="154" t="s">
        <v>1524</v>
      </c>
      <c r="B85" s="160" t="s">
        <v>1297</v>
      </c>
      <c r="C85" s="115" t="s">
        <v>1518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564">
        <f>SUM(G85+H85)</f>
        <v>0</v>
      </c>
    </row>
    <row r="86" spans="1:9" x14ac:dyDescent="0.15">
      <c r="A86" s="725" t="s">
        <v>1675</v>
      </c>
      <c r="B86" s="160" t="s">
        <v>1298</v>
      </c>
      <c r="C86" s="692" t="s">
        <v>1676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564">
        <f>SUM(G86+H86)</f>
        <v>0</v>
      </c>
    </row>
    <row r="87" spans="1:9" ht="11.25" customHeight="1" thickBot="1" x14ac:dyDescent="0.2">
      <c r="A87" s="154" t="s">
        <v>1526</v>
      </c>
      <c r="B87" s="160" t="s">
        <v>1299</v>
      </c>
      <c r="C87" s="115" t="s">
        <v>1520</v>
      </c>
      <c r="D87" s="150">
        <v>0</v>
      </c>
      <c r="E87" s="150">
        <v>0</v>
      </c>
      <c r="F87" s="150">
        <v>0</v>
      </c>
      <c r="G87" s="150">
        <v>0</v>
      </c>
      <c r="H87" s="41">
        <v>0</v>
      </c>
      <c r="I87" s="564">
        <f>SUM(G87+H87)</f>
        <v>0</v>
      </c>
    </row>
    <row r="88" spans="1:9" ht="12" thickTop="1" thickBot="1" x14ac:dyDescent="0.2">
      <c r="A88" s="149"/>
      <c r="B88" s="160" t="s">
        <v>1300</v>
      </c>
      <c r="C88" s="115" t="s">
        <v>724</v>
      </c>
      <c r="D88" s="151">
        <f t="shared" ref="D88:I88" si="10">SUM(D83:D87)</f>
        <v>0</v>
      </c>
      <c r="E88" s="151">
        <f t="shared" si="10"/>
        <v>0</v>
      </c>
      <c r="F88" s="151">
        <f t="shared" si="10"/>
        <v>0</v>
      </c>
      <c r="G88" s="151">
        <f t="shared" si="10"/>
        <v>0</v>
      </c>
      <c r="H88" s="151">
        <f t="shared" si="10"/>
        <v>0</v>
      </c>
      <c r="I88" s="151">
        <f t="shared" si="10"/>
        <v>0</v>
      </c>
    </row>
    <row r="89" spans="1:9" ht="12" thickTop="1" thickBot="1" x14ac:dyDescent="0.2">
      <c r="A89" s="149"/>
      <c r="C89" s="115"/>
      <c r="D89" s="159"/>
      <c r="E89" s="159"/>
      <c r="F89" s="159"/>
      <c r="G89" s="159"/>
      <c r="I89" s="167"/>
    </row>
    <row r="90" spans="1:9" ht="11.25" thickBot="1" x14ac:dyDescent="0.2">
      <c r="A90" s="779" t="s">
        <v>557</v>
      </c>
      <c r="B90" s="779"/>
      <c r="C90" s="780"/>
      <c r="D90" s="212">
        <f t="shared" ref="D90:I90" si="11">D80+D88</f>
        <v>0</v>
      </c>
      <c r="E90" s="212">
        <f t="shared" si="11"/>
        <v>0</v>
      </c>
      <c r="F90" s="212">
        <f t="shared" si="11"/>
        <v>0</v>
      </c>
      <c r="G90" s="212">
        <f t="shared" si="11"/>
        <v>0</v>
      </c>
      <c r="H90" s="212">
        <f t="shared" si="11"/>
        <v>0</v>
      </c>
      <c r="I90" s="212">
        <f t="shared" si="11"/>
        <v>0</v>
      </c>
    </row>
    <row r="91" spans="1:9" x14ac:dyDescent="0.15">
      <c r="A91" s="149"/>
      <c r="C91" s="115" t="s">
        <v>725</v>
      </c>
      <c r="D91" s="159"/>
      <c r="E91" s="159"/>
      <c r="F91" s="159"/>
      <c r="G91" s="159"/>
      <c r="I91" s="167"/>
    </row>
    <row r="92" spans="1:9" ht="11.25" thickBot="1" x14ac:dyDescent="0.2">
      <c r="A92" s="149"/>
      <c r="C92" s="115"/>
      <c r="D92" s="159"/>
      <c r="E92" s="159"/>
      <c r="F92" s="159"/>
      <c r="G92" s="159"/>
      <c r="I92" s="167"/>
    </row>
    <row r="93" spans="1:9" ht="12" thickTop="1" thickBot="1" x14ac:dyDescent="0.2">
      <c r="C93" s="172" t="s">
        <v>726</v>
      </c>
      <c r="D93" s="173">
        <f t="shared" ref="D93:I93" si="12">D27</f>
        <v>0</v>
      </c>
      <c r="E93" s="173">
        <f t="shared" si="12"/>
        <v>0</v>
      </c>
      <c r="F93" s="173">
        <f t="shared" si="12"/>
        <v>0</v>
      </c>
      <c r="G93" s="173">
        <f t="shared" si="12"/>
        <v>0</v>
      </c>
      <c r="H93" s="173">
        <f t="shared" si="12"/>
        <v>0</v>
      </c>
      <c r="I93" s="173">
        <f t="shared" si="12"/>
        <v>0</v>
      </c>
    </row>
    <row r="94" spans="1:9" ht="11.25" thickTop="1" x14ac:dyDescent="0.15">
      <c r="I94" s="167"/>
    </row>
    <row r="95" spans="1:9" x14ac:dyDescent="0.15">
      <c r="C95" s="172" t="s">
        <v>727</v>
      </c>
      <c r="D95" s="158">
        <f t="shared" ref="D95:I95" si="13">D90-D93</f>
        <v>0</v>
      </c>
      <c r="E95" s="158">
        <f t="shared" si="13"/>
        <v>0</v>
      </c>
      <c r="F95" s="158">
        <f t="shared" si="13"/>
        <v>0</v>
      </c>
      <c r="G95" s="158">
        <f t="shared" si="13"/>
        <v>0</v>
      </c>
      <c r="H95" s="158">
        <f t="shared" si="13"/>
        <v>0</v>
      </c>
      <c r="I95" s="167">
        <f t="shared" si="13"/>
        <v>0</v>
      </c>
    </row>
    <row r="96" spans="1:9" x14ac:dyDescent="0.15">
      <c r="B96" s="3"/>
      <c r="D96" s="3"/>
      <c r="E96" s="8"/>
      <c r="F96" s="8"/>
      <c r="G96" s="159"/>
      <c r="I96" s="167"/>
    </row>
    <row r="97" spans="1:7" x14ac:dyDescent="0.15">
      <c r="B97" s="3"/>
      <c r="D97" s="3"/>
      <c r="E97" s="8"/>
      <c r="F97" s="8"/>
      <c r="G97" s="159"/>
    </row>
    <row r="98" spans="1:7" x14ac:dyDescent="0.15">
      <c r="D98" s="3"/>
      <c r="E98" s="8"/>
      <c r="F98" s="8"/>
      <c r="G98" s="159"/>
    </row>
    <row r="100" spans="1:7" x14ac:dyDescent="0.15">
      <c r="A100" s="3" t="s">
        <v>1328</v>
      </c>
    </row>
    <row r="102" spans="1:7" x14ac:dyDescent="0.15">
      <c r="A102" s="653" t="s">
        <v>881</v>
      </c>
      <c r="B102" s="719"/>
      <c r="C102" s="719"/>
      <c r="D102" s="719"/>
      <c r="E102" s="719"/>
      <c r="F102" s="719"/>
    </row>
  </sheetData>
  <sheetProtection formatCells="0" formatColumns="0" formatRows="0"/>
  <mergeCells count="1">
    <mergeCell ref="A90:C90"/>
  </mergeCells>
  <phoneticPr fontId="15" type="noConversion"/>
  <pageMargins left="0.5" right="0.5" top="0.75" bottom="0.75" header="0.5" footer="0.5"/>
  <pageSetup scale="66" firstPageNumber="40" fitToHeight="0" orientation="portrait" horizontalDpi="300" verticalDpi="300" r:id="rId1"/>
  <headerFooter alignWithMargins="0">
    <oddFooter>&amp;LCDE, Public Scool Finance Unit&amp;C&amp;P&amp;RRevised March, 2009</oddFooter>
  </headerFooter>
  <rowBreaks count="1" manualBreakCount="1">
    <brk id="7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opLeftCell="A37" workbookViewId="0">
      <selection activeCell="D4" sqref="D4"/>
    </sheetView>
  </sheetViews>
  <sheetFormatPr defaultColWidth="12" defaultRowHeight="10.5" x14ac:dyDescent="0.15"/>
  <cols>
    <col min="1" max="1" width="21.6640625" style="135" customWidth="1"/>
    <col min="2" max="2" width="3.83203125" customWidth="1"/>
    <col min="3" max="3" width="70.83203125" customWidth="1"/>
    <col min="4" max="4" width="15.83203125" customWidth="1"/>
    <col min="5" max="5" width="17.83203125" customWidth="1"/>
    <col min="6" max="6" width="18" customWidth="1"/>
    <col min="7" max="7" width="15.83203125" customWidth="1"/>
    <col min="8" max="8" width="17" customWidth="1"/>
    <col min="9" max="9" width="16.83203125" customWidth="1"/>
  </cols>
  <sheetData>
    <row r="1" spans="1:9" x14ac:dyDescent="0.15">
      <c r="A1" s="135" t="s">
        <v>106</v>
      </c>
      <c r="C1" s="10">
        <f>+'Page 1 - FY2014-15'!B5</f>
        <v>0</v>
      </c>
      <c r="D1" t="s">
        <v>1586</v>
      </c>
      <c r="E1" s="106">
        <f>+'Page 1 - FY2014-15'!F7</f>
        <v>0</v>
      </c>
      <c r="G1" s="38" t="s">
        <v>1588</v>
      </c>
    </row>
    <row r="2" spans="1:9" x14ac:dyDescent="0.15">
      <c r="A2" s="134" t="s">
        <v>625</v>
      </c>
    </row>
    <row r="3" spans="1:9" s="158" customFormat="1" ht="31.5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s="158" customFormat="1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s="158" customFormat="1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136" t="s">
        <v>195</v>
      </c>
      <c r="B6" s="35" t="s">
        <v>626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SUM(G6+H6)</f>
        <v>0</v>
      </c>
    </row>
    <row r="7" spans="1:9" x14ac:dyDescent="0.15">
      <c r="E7" s="5"/>
      <c r="F7" s="5"/>
      <c r="G7" s="5"/>
      <c r="I7" s="6"/>
    </row>
    <row r="8" spans="1:9" x14ac:dyDescent="0.15">
      <c r="A8" s="139" t="s">
        <v>1592</v>
      </c>
      <c r="C8" s="210" t="s">
        <v>1213</v>
      </c>
      <c r="E8" s="5"/>
      <c r="F8" s="5"/>
      <c r="G8" s="5"/>
      <c r="I8" s="6"/>
    </row>
    <row r="9" spans="1:9" x14ac:dyDescent="0.15">
      <c r="A9" s="137" t="s">
        <v>1602</v>
      </c>
      <c r="B9" s="297" t="s">
        <v>1159</v>
      </c>
      <c r="C9" s="1" t="s">
        <v>443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>SUM(G9+H9)</f>
        <v>0</v>
      </c>
    </row>
    <row r="10" spans="1:9" x14ac:dyDescent="0.15">
      <c r="A10" s="186" t="s">
        <v>529</v>
      </c>
      <c r="B10" s="297" t="s">
        <v>1160</v>
      </c>
      <c r="C10" s="1" t="s">
        <v>530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ref="I10:I20" si="0">SUM(G10+H10)</f>
        <v>0</v>
      </c>
    </row>
    <row r="11" spans="1:9" x14ac:dyDescent="0.15">
      <c r="A11" s="186" t="s">
        <v>673</v>
      </c>
      <c r="B11" s="297" t="s">
        <v>1161</v>
      </c>
      <c r="C11" s="1" t="s">
        <v>674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87" t="s">
        <v>577</v>
      </c>
      <c r="B12" s="297" t="s">
        <v>1228</v>
      </c>
      <c r="C12" s="1" t="s">
        <v>578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86" t="s">
        <v>799</v>
      </c>
      <c r="B13" s="297" t="s">
        <v>1229</v>
      </c>
      <c r="C13" s="1" t="s">
        <v>800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86" t="s">
        <v>799</v>
      </c>
      <c r="B14" s="297" t="s">
        <v>1230</v>
      </c>
      <c r="C14" s="1" t="s">
        <v>801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86" t="s">
        <v>799</v>
      </c>
      <c r="B15" s="297" t="s">
        <v>1231</v>
      </c>
      <c r="C15" s="1" t="s">
        <v>802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>SUM(G15+H15)</f>
        <v>0</v>
      </c>
    </row>
    <row r="16" spans="1:9" x14ac:dyDescent="0.15">
      <c r="A16" s="137" t="s">
        <v>389</v>
      </c>
      <c r="B16" s="297" t="s">
        <v>1232</v>
      </c>
      <c r="C16" s="1" t="s">
        <v>652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10" x14ac:dyDescent="0.15">
      <c r="A17" s="137" t="s">
        <v>389</v>
      </c>
      <c r="B17" s="297" t="s">
        <v>1240</v>
      </c>
      <c r="C17" s="1" t="s">
        <v>713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10" x14ac:dyDescent="0.15">
      <c r="A18" s="137" t="s">
        <v>682</v>
      </c>
      <c r="B18" s="297" t="s">
        <v>803</v>
      </c>
      <c r="C18" s="653" t="s">
        <v>1651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564">
        <f t="shared" si="0"/>
        <v>0</v>
      </c>
    </row>
    <row r="19" spans="1:10" x14ac:dyDescent="0.15">
      <c r="A19" s="137" t="s">
        <v>105</v>
      </c>
      <c r="B19" s="297" t="s">
        <v>804</v>
      </c>
      <c r="C19" s="2" t="s">
        <v>854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564">
        <f t="shared" si="0"/>
        <v>0</v>
      </c>
    </row>
    <row r="20" spans="1:10" x14ac:dyDescent="0.15">
      <c r="A20" s="137"/>
      <c r="B20" s="297" t="s">
        <v>1241</v>
      </c>
      <c r="C20" s="138" t="s">
        <v>1051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564">
        <f t="shared" si="0"/>
        <v>0</v>
      </c>
    </row>
    <row r="21" spans="1:10" ht="11.25" thickBot="1" x14ac:dyDescent="0.2">
      <c r="A21" s="137"/>
      <c r="B21" s="214"/>
      <c r="C21" s="1"/>
      <c r="D21" s="14"/>
      <c r="E21" s="14"/>
      <c r="F21" s="14"/>
      <c r="G21" s="14"/>
      <c r="I21" s="6"/>
    </row>
    <row r="22" spans="1:10" ht="12" thickTop="1" thickBot="1" x14ac:dyDescent="0.2">
      <c r="B22" s="297" t="s">
        <v>1242</v>
      </c>
      <c r="C22" s="35" t="s">
        <v>1214</v>
      </c>
      <c r="D22" s="42">
        <f t="shared" ref="D22:I22" si="1">SUM(D9:D21)</f>
        <v>0</v>
      </c>
      <c r="E22" s="42">
        <f t="shared" si="1"/>
        <v>0</v>
      </c>
      <c r="F22" s="42">
        <f t="shared" si="1"/>
        <v>0</v>
      </c>
      <c r="G22" s="42">
        <f t="shared" si="1"/>
        <v>0</v>
      </c>
      <c r="H22" s="42">
        <f t="shared" si="1"/>
        <v>0</v>
      </c>
      <c r="I22" s="42">
        <f t="shared" si="1"/>
        <v>0</v>
      </c>
    </row>
    <row r="23" spans="1:10" ht="12" thickTop="1" thickBot="1" x14ac:dyDescent="0.2">
      <c r="C23" s="1"/>
      <c r="D23" s="13"/>
      <c r="E23" s="13"/>
      <c r="F23" s="13"/>
      <c r="G23" s="13"/>
      <c r="I23" s="6"/>
    </row>
    <row r="24" spans="1:10" ht="11.25" thickBot="1" x14ac:dyDescent="0.2">
      <c r="A24" s="35" t="s">
        <v>1215</v>
      </c>
      <c r="D24" s="44">
        <f t="shared" ref="D24:I24" si="2">D6+D22</f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</row>
    <row r="25" spans="1:10" x14ac:dyDescent="0.15">
      <c r="E25" s="5"/>
      <c r="F25" s="5"/>
      <c r="G25" s="5"/>
      <c r="I25" s="6"/>
    </row>
    <row r="26" spans="1:10" x14ac:dyDescent="0.15">
      <c r="A26" s="660" t="s">
        <v>824</v>
      </c>
      <c r="B26" s="424"/>
      <c r="C26" s="495" t="s">
        <v>816</v>
      </c>
      <c r="D26" s="423"/>
      <c r="E26" s="423"/>
      <c r="F26" s="423"/>
      <c r="G26" s="423"/>
      <c r="H26" s="423"/>
      <c r="I26" s="179"/>
    </row>
    <row r="27" spans="1:10" x14ac:dyDescent="0.15">
      <c r="A27" s="436" t="s">
        <v>105</v>
      </c>
      <c r="B27" s="501" t="s">
        <v>882</v>
      </c>
      <c r="C27" s="2" t="s">
        <v>827</v>
      </c>
      <c r="D27" s="41">
        <v>0</v>
      </c>
      <c r="E27" s="41">
        <v>0</v>
      </c>
      <c r="F27" s="41">
        <v>0</v>
      </c>
      <c r="G27" s="41">
        <v>0</v>
      </c>
      <c r="H27" s="534">
        <v>0</v>
      </c>
      <c r="I27" s="535">
        <f>SUM(G27+H27)</f>
        <v>0</v>
      </c>
    </row>
    <row r="28" spans="1:10" s="309" customFormat="1" x14ac:dyDescent="0.15">
      <c r="A28" s="436"/>
      <c r="B28" s="501"/>
      <c r="C28" s="2"/>
      <c r="D28" s="14"/>
      <c r="E28" s="14"/>
      <c r="F28" s="14"/>
      <c r="G28" s="14"/>
      <c r="H28" s="308"/>
      <c r="I28" s="305"/>
    </row>
    <row r="29" spans="1:10" s="309" customFormat="1" x14ac:dyDescent="0.15">
      <c r="A29" s="158"/>
      <c r="B29" s="158"/>
      <c r="C29" s="158"/>
      <c r="D29" s="158"/>
      <c r="E29" s="159"/>
      <c r="F29" s="159"/>
      <c r="G29" s="159"/>
      <c r="H29" s="158"/>
      <c r="I29" s="167"/>
    </row>
    <row r="30" spans="1:10" s="309" customFormat="1" x14ac:dyDescent="0.15">
      <c r="A30" s="375" t="s">
        <v>664</v>
      </c>
      <c r="B30"/>
      <c r="C30"/>
      <c r="D30"/>
      <c r="E30" s="5"/>
      <c r="F30" s="5"/>
      <c r="G30" s="5"/>
      <c r="H30"/>
      <c r="I30" s="6"/>
    </row>
    <row r="31" spans="1:10" s="158" customFormat="1" x14ac:dyDescent="0.15">
      <c r="A31" s="139" t="s">
        <v>198</v>
      </c>
      <c r="B31"/>
      <c r="C31" s="210" t="s">
        <v>627</v>
      </c>
      <c r="D31"/>
      <c r="E31" s="5"/>
      <c r="F31" s="5"/>
      <c r="G31" s="5"/>
      <c r="H31"/>
      <c r="I31" s="6"/>
      <c r="J31" s="309"/>
    </row>
    <row r="32" spans="1:10" x14ac:dyDescent="0.15">
      <c r="A32" s="311" t="s">
        <v>1577</v>
      </c>
      <c r="B32" s="583" t="s">
        <v>1240</v>
      </c>
      <c r="C32" s="312" t="s">
        <v>228</v>
      </c>
      <c r="D32" s="316">
        <v>0</v>
      </c>
      <c r="E32" s="316">
        <v>0</v>
      </c>
      <c r="F32" s="316">
        <v>0</v>
      </c>
      <c r="G32" s="529">
        <f t="array" ref="G32">SUM(IF(CertFund&amp;CertProg&amp;CertObj=RIGHT(LEFT($A$2,7),2)&amp;LEFT(A30,4)&amp;A32,CertSalary))</f>
        <v>0</v>
      </c>
      <c r="H32" s="584">
        <v>0</v>
      </c>
      <c r="I32" s="575">
        <f>SUM(G32+H32)</f>
        <v>0</v>
      </c>
    </row>
    <row r="33" spans="1:9" x14ac:dyDescent="0.15">
      <c r="A33" s="311" t="s">
        <v>423</v>
      </c>
      <c r="B33" s="583" t="s">
        <v>1240</v>
      </c>
      <c r="C33" s="312" t="s">
        <v>510</v>
      </c>
      <c r="D33" s="316">
        <v>0</v>
      </c>
      <c r="E33" s="316">
        <v>0</v>
      </c>
      <c r="F33" s="316">
        <v>0</v>
      </c>
      <c r="G33" s="316">
        <v>0</v>
      </c>
      <c r="H33" s="584">
        <v>0</v>
      </c>
      <c r="I33" s="575">
        <f>SUM(G33+H33)</f>
        <v>0</v>
      </c>
    </row>
    <row r="34" spans="1:9" x14ac:dyDescent="0.15">
      <c r="A34" s="311" t="s">
        <v>1578</v>
      </c>
      <c r="B34" s="583" t="s">
        <v>1244</v>
      </c>
      <c r="C34" s="312" t="s">
        <v>229</v>
      </c>
      <c r="D34" s="316">
        <v>0</v>
      </c>
      <c r="E34" s="316">
        <v>0</v>
      </c>
      <c r="F34" s="316">
        <v>0</v>
      </c>
      <c r="G34" s="529">
        <f t="array" ref="G34">SUM(IF(CertFund&amp;CertProg&amp;CertObj=RIGHT(LEFT($A$2,7),2)&amp;LEFT(A30,4)&amp;A32,CertBen))</f>
        <v>0</v>
      </c>
      <c r="H34" s="584">
        <v>0</v>
      </c>
      <c r="I34" s="575">
        <f>SUM(G34+H34)</f>
        <v>0</v>
      </c>
    </row>
    <row r="35" spans="1:9" x14ac:dyDescent="0.15">
      <c r="A35" s="152" t="s">
        <v>424</v>
      </c>
      <c r="B35" s="160" t="s">
        <v>1244</v>
      </c>
      <c r="C35" s="115" t="s">
        <v>511</v>
      </c>
      <c r="D35" s="147">
        <v>0</v>
      </c>
      <c r="E35" s="147">
        <v>0</v>
      </c>
      <c r="F35" s="147">
        <v>0</v>
      </c>
      <c r="G35" s="147">
        <v>0</v>
      </c>
      <c r="H35" s="585">
        <v>0</v>
      </c>
      <c r="I35" s="564">
        <f>SUM(G35+H35)</f>
        <v>0</v>
      </c>
    </row>
    <row r="36" spans="1:9" x14ac:dyDescent="0.15">
      <c r="A36" s="137" t="s">
        <v>427</v>
      </c>
      <c r="B36" s="296" t="s">
        <v>1251</v>
      </c>
      <c r="C36" s="1" t="s">
        <v>124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ref="I36:I45" si="3">SUM(G36+H36)</f>
        <v>0</v>
      </c>
    </row>
    <row r="37" spans="1:9" x14ac:dyDescent="0.15">
      <c r="A37" s="137" t="s">
        <v>715</v>
      </c>
      <c r="B37" s="296" t="s">
        <v>1252</v>
      </c>
      <c r="C37" s="1" t="s">
        <v>1362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3"/>
        <v>0</v>
      </c>
    </row>
    <row r="38" spans="1:9" x14ac:dyDescent="0.15">
      <c r="A38" s="137" t="s">
        <v>539</v>
      </c>
      <c r="B38" s="296" t="s">
        <v>1253</v>
      </c>
      <c r="C38" s="1" t="s">
        <v>714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3"/>
        <v>0</v>
      </c>
    </row>
    <row r="39" spans="1:9" x14ac:dyDescent="0.15">
      <c r="A39" s="137" t="s">
        <v>628</v>
      </c>
      <c r="B39" s="296" t="s">
        <v>1254</v>
      </c>
      <c r="C39" s="1" t="s">
        <v>716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3"/>
        <v>0</v>
      </c>
    </row>
    <row r="40" spans="1:9" x14ac:dyDescent="0.15">
      <c r="A40" s="137" t="s">
        <v>629</v>
      </c>
      <c r="B40" s="296" t="s">
        <v>1255</v>
      </c>
      <c r="C40" s="1" t="s">
        <v>717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 t="shared" si="3"/>
        <v>0</v>
      </c>
    </row>
    <row r="41" spans="1:9" x14ac:dyDescent="0.15">
      <c r="A41" s="108" t="s">
        <v>81</v>
      </c>
      <c r="B41" s="296" t="s">
        <v>1260</v>
      </c>
      <c r="C41" s="1" t="s">
        <v>82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3"/>
        <v>0</v>
      </c>
    </row>
    <row r="42" spans="1:9" x14ac:dyDescent="0.15">
      <c r="A42" s="137" t="s">
        <v>631</v>
      </c>
      <c r="B42" s="296" t="s">
        <v>1261</v>
      </c>
      <c r="C42" s="1" t="s">
        <v>173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 t="shared" si="3"/>
        <v>0</v>
      </c>
    </row>
    <row r="43" spans="1:9" x14ac:dyDescent="0.15">
      <c r="A43" s="137" t="s">
        <v>632</v>
      </c>
      <c r="B43" s="296" t="s">
        <v>1262</v>
      </c>
      <c r="C43" s="1" t="s">
        <v>183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 t="shared" si="3"/>
        <v>0</v>
      </c>
    </row>
    <row r="44" spans="1:9" x14ac:dyDescent="0.15">
      <c r="A44" s="152"/>
      <c r="B44" s="152"/>
      <c r="C44" s="665" t="s">
        <v>883</v>
      </c>
      <c r="D44" s="529">
        <f t="shared" ref="D44:I44" si="4">+D27</f>
        <v>0</v>
      </c>
      <c r="E44" s="529">
        <f t="shared" si="4"/>
        <v>0</v>
      </c>
      <c r="F44" s="529">
        <f t="shared" si="4"/>
        <v>0</v>
      </c>
      <c r="G44" s="529">
        <f t="shared" si="4"/>
        <v>0</v>
      </c>
      <c r="H44" s="529">
        <f t="shared" si="4"/>
        <v>0</v>
      </c>
      <c r="I44" s="529">
        <f t="shared" si="4"/>
        <v>0</v>
      </c>
    </row>
    <row r="45" spans="1:9" x14ac:dyDescent="0.15">
      <c r="A45" s="137" t="s">
        <v>718</v>
      </c>
      <c r="B45" s="135" t="s">
        <v>1263</v>
      </c>
      <c r="C45" s="1" t="s">
        <v>1510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564">
        <f t="shared" si="3"/>
        <v>0</v>
      </c>
    </row>
    <row r="46" spans="1:9" ht="11.25" thickBot="1" x14ac:dyDescent="0.2">
      <c r="A46" s="137"/>
      <c r="B46" s="213"/>
      <c r="C46" s="1"/>
      <c r="D46" s="14"/>
      <c r="E46" s="14"/>
      <c r="F46" s="14"/>
      <c r="G46" s="14"/>
      <c r="I46" s="6"/>
    </row>
    <row r="47" spans="1:9" ht="12" thickTop="1" thickBot="1" x14ac:dyDescent="0.2">
      <c r="B47" s="297" t="s">
        <v>1265</v>
      </c>
      <c r="C47" s="35" t="s">
        <v>1169</v>
      </c>
      <c r="D47" s="42">
        <f t="shared" ref="D47:I47" si="5">SUM(D32:D45)</f>
        <v>0</v>
      </c>
      <c r="E47" s="42">
        <f t="shared" si="5"/>
        <v>0</v>
      </c>
      <c r="F47" s="42">
        <f t="shared" si="5"/>
        <v>0</v>
      </c>
      <c r="G47" s="42">
        <f t="shared" si="5"/>
        <v>0</v>
      </c>
      <c r="H47" s="42">
        <f t="shared" si="5"/>
        <v>0</v>
      </c>
      <c r="I47" s="42">
        <f t="shared" si="5"/>
        <v>0</v>
      </c>
    </row>
    <row r="48" spans="1:9" ht="11.25" thickTop="1" x14ac:dyDescent="0.15">
      <c r="B48" s="17"/>
      <c r="E48" s="8"/>
      <c r="F48" s="5"/>
      <c r="G48" s="5"/>
      <c r="I48" s="6"/>
    </row>
    <row r="49" spans="1:9" x14ac:dyDescent="0.15">
      <c r="A49" s="155" t="s">
        <v>110</v>
      </c>
      <c r="C49" s="210" t="s">
        <v>737</v>
      </c>
      <c r="D49" s="159"/>
      <c r="E49" s="159"/>
      <c r="F49" s="159"/>
      <c r="G49" s="159"/>
      <c r="I49" s="6"/>
    </row>
    <row r="50" spans="1:9" x14ac:dyDescent="0.15">
      <c r="A50" s="154" t="s">
        <v>1522</v>
      </c>
      <c r="B50" s="297" t="s">
        <v>1266</v>
      </c>
      <c r="C50" s="115" t="s">
        <v>1516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564">
        <f>SUM(G50+H50)</f>
        <v>0</v>
      </c>
    </row>
    <row r="51" spans="1:9" x14ac:dyDescent="0.15">
      <c r="A51" s="154" t="s">
        <v>1523</v>
      </c>
      <c r="B51" s="297" t="s">
        <v>1267</v>
      </c>
      <c r="C51" s="115" t="s">
        <v>1517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564">
        <f>SUM(G51+H51)</f>
        <v>0</v>
      </c>
    </row>
    <row r="52" spans="1:9" x14ac:dyDescent="0.15">
      <c r="A52" s="154" t="s">
        <v>1524</v>
      </c>
      <c r="B52" s="297" t="s">
        <v>1268</v>
      </c>
      <c r="C52" s="115" t="s">
        <v>1518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64">
        <f>SUM(G52+H52)</f>
        <v>0</v>
      </c>
    </row>
    <row r="53" spans="1:9" x14ac:dyDescent="0.15">
      <c r="A53" s="725" t="s">
        <v>1675</v>
      </c>
      <c r="B53" s="297" t="s">
        <v>1269</v>
      </c>
      <c r="C53" s="692" t="s">
        <v>1676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64">
        <f>SUM(G53+H53)</f>
        <v>0</v>
      </c>
    </row>
    <row r="54" spans="1:9" ht="11.25" thickBot="1" x14ac:dyDescent="0.2">
      <c r="A54" s="154" t="s">
        <v>1526</v>
      </c>
      <c r="B54" s="297" t="s">
        <v>1270</v>
      </c>
      <c r="C54" s="115" t="s">
        <v>1520</v>
      </c>
      <c r="D54" s="41">
        <v>0</v>
      </c>
      <c r="E54" s="150">
        <v>0</v>
      </c>
      <c r="F54" s="150">
        <v>0</v>
      </c>
      <c r="G54" s="150">
        <v>0</v>
      </c>
      <c r="H54" s="41">
        <v>0</v>
      </c>
      <c r="I54" s="564">
        <f>SUM(G54+H54)</f>
        <v>0</v>
      </c>
    </row>
    <row r="55" spans="1:9" ht="12" thickTop="1" thickBot="1" x14ac:dyDescent="0.2">
      <c r="A55" s="149"/>
      <c r="B55" s="297" t="s">
        <v>1271</v>
      </c>
      <c r="C55" s="1" t="s">
        <v>1693</v>
      </c>
      <c r="D55" s="151">
        <f t="shared" ref="D55:I55" si="6">SUM(D50:D54)</f>
        <v>0</v>
      </c>
      <c r="E55" s="151">
        <f t="shared" si="6"/>
        <v>0</v>
      </c>
      <c r="F55" s="151">
        <f t="shared" si="6"/>
        <v>0</v>
      </c>
      <c r="G55" s="151">
        <f t="shared" si="6"/>
        <v>0</v>
      </c>
      <c r="H55" s="151">
        <f t="shared" si="6"/>
        <v>0</v>
      </c>
      <c r="I55" s="169">
        <f t="shared" si="6"/>
        <v>0</v>
      </c>
    </row>
    <row r="56" spans="1:9" ht="12" thickTop="1" thickBot="1" x14ac:dyDescent="0.2">
      <c r="A56" s="149"/>
      <c r="B56" s="182"/>
      <c r="C56" s="115"/>
      <c r="D56" s="159"/>
      <c r="E56" s="159"/>
      <c r="F56" s="159"/>
      <c r="G56" s="159"/>
      <c r="I56" s="6"/>
    </row>
    <row r="57" spans="1:9" ht="11.25" thickBot="1" x14ac:dyDescent="0.2">
      <c r="A57" s="35" t="s">
        <v>1684</v>
      </c>
      <c r="B57" s="17"/>
      <c r="C57" s="158"/>
      <c r="D57" s="212">
        <f t="shared" ref="D57:I57" si="7">D47+D55</f>
        <v>0</v>
      </c>
      <c r="E57" s="212">
        <f t="shared" si="7"/>
        <v>0</v>
      </c>
      <c r="F57" s="212">
        <f t="shared" si="7"/>
        <v>0</v>
      </c>
      <c r="G57" s="212">
        <f t="shared" si="7"/>
        <v>0</v>
      </c>
      <c r="H57" s="212">
        <f t="shared" si="7"/>
        <v>0</v>
      </c>
      <c r="I57" s="212">
        <f t="shared" si="7"/>
        <v>0</v>
      </c>
    </row>
    <row r="58" spans="1:9" x14ac:dyDescent="0.15">
      <c r="A58" s="149"/>
      <c r="B58" s="182"/>
      <c r="C58" s="115" t="s">
        <v>725</v>
      </c>
      <c r="D58" s="159"/>
      <c r="E58" s="159"/>
      <c r="F58" s="159"/>
      <c r="G58" s="159"/>
      <c r="I58" s="6"/>
    </row>
    <row r="59" spans="1:9" ht="11.25" thickBot="1" x14ac:dyDescent="0.2">
      <c r="A59" s="149"/>
      <c r="B59" s="182"/>
      <c r="C59" s="115"/>
      <c r="D59" s="159"/>
      <c r="E59" s="159"/>
      <c r="F59" s="159"/>
      <c r="G59" s="159"/>
      <c r="I59" s="6"/>
    </row>
    <row r="60" spans="1:9" ht="12" thickTop="1" thickBot="1" x14ac:dyDescent="0.2">
      <c r="A60" s="158"/>
      <c r="B60" s="158"/>
      <c r="C60" s="172" t="s">
        <v>726</v>
      </c>
      <c r="D60" s="173">
        <f t="shared" ref="D60:I60" si="8">D24</f>
        <v>0</v>
      </c>
      <c r="E60" s="173">
        <f t="shared" si="8"/>
        <v>0</v>
      </c>
      <c r="F60" s="173">
        <f t="shared" si="8"/>
        <v>0</v>
      </c>
      <c r="G60" s="173">
        <f t="shared" si="8"/>
        <v>0</v>
      </c>
      <c r="H60" s="173">
        <f t="shared" si="8"/>
        <v>0</v>
      </c>
      <c r="I60" s="173">
        <f t="shared" si="8"/>
        <v>0</v>
      </c>
    </row>
    <row r="61" spans="1:9" ht="11.25" thickTop="1" x14ac:dyDescent="0.15">
      <c r="A61" s="158"/>
      <c r="B61" s="158"/>
      <c r="C61" s="158"/>
      <c r="D61" s="158"/>
      <c r="E61" s="158"/>
      <c r="F61" s="158"/>
      <c r="G61" s="158"/>
      <c r="I61" s="6"/>
    </row>
    <row r="62" spans="1:9" x14ac:dyDescent="0.15">
      <c r="A62" s="158"/>
      <c r="B62" s="158"/>
      <c r="C62" s="172" t="s">
        <v>727</v>
      </c>
      <c r="D62" s="158">
        <f t="shared" ref="D62:I62" si="9">D57-D60</f>
        <v>0</v>
      </c>
      <c r="E62" s="158">
        <f t="shared" si="9"/>
        <v>0</v>
      </c>
      <c r="F62" s="158">
        <f t="shared" si="9"/>
        <v>0</v>
      </c>
      <c r="G62" s="158">
        <f t="shared" si="9"/>
        <v>0</v>
      </c>
      <c r="H62" s="158">
        <f t="shared" si="9"/>
        <v>0</v>
      </c>
      <c r="I62" s="167">
        <f t="shared" si="9"/>
        <v>0</v>
      </c>
    </row>
    <row r="63" spans="1:9" x14ac:dyDescent="0.15">
      <c r="A63" s="158"/>
      <c r="B63" s="158"/>
      <c r="C63" s="172"/>
      <c r="D63" s="158"/>
      <c r="E63" s="158"/>
      <c r="F63" s="158"/>
      <c r="G63" s="158"/>
      <c r="I63" s="6"/>
    </row>
    <row r="64" spans="1:9" x14ac:dyDescent="0.15">
      <c r="C64" s="210" t="s">
        <v>111</v>
      </c>
      <c r="E64" s="5"/>
      <c r="F64" s="5"/>
      <c r="G64" s="5"/>
      <c r="I64" s="6"/>
    </row>
    <row r="65" spans="1:9" x14ac:dyDescent="0.15">
      <c r="A65" s="140" t="s">
        <v>634</v>
      </c>
      <c r="C65" s="1" t="s">
        <v>1142</v>
      </c>
      <c r="E65" s="5"/>
      <c r="F65" s="5"/>
      <c r="G65" s="5"/>
      <c r="I65" s="6"/>
    </row>
    <row r="66" spans="1:9" x14ac:dyDescent="0.15">
      <c r="B66" s="7"/>
      <c r="C66" s="2" t="s">
        <v>1606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564">
        <f>G66+H66</f>
        <v>0</v>
      </c>
    </row>
    <row r="67" spans="1:9" x14ac:dyDescent="0.15">
      <c r="B67" s="7"/>
      <c r="C67" s="2"/>
      <c r="D67" s="14"/>
      <c r="E67" s="14"/>
      <c r="F67" s="14"/>
      <c r="G67" s="14"/>
      <c r="I67" s="6"/>
    </row>
    <row r="68" spans="1:9" x14ac:dyDescent="0.15">
      <c r="I68" s="6"/>
    </row>
  </sheetData>
  <sheetProtection password="CB03" sheet="1" formatCells="0" formatColumns="0" formatRows="0"/>
  <phoneticPr fontId="15" type="noConversion"/>
  <pageMargins left="0.5" right="0.5" top="0.75" bottom="0.75" header="0.5" footer="0.5"/>
  <pageSetup scale="61" firstPageNumber="42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D4" sqref="D4"/>
    </sheetView>
  </sheetViews>
  <sheetFormatPr defaultColWidth="12" defaultRowHeight="10.5" x14ac:dyDescent="0.15"/>
  <cols>
    <col min="1" max="1" width="10.33203125" customWidth="1"/>
    <col min="2" max="2" width="3.6640625" bestFit="1" customWidth="1"/>
    <col min="3" max="3" width="70.83203125" customWidth="1"/>
    <col min="4" max="4" width="15.83203125" customWidth="1"/>
    <col min="5" max="5" width="17.83203125" customWidth="1"/>
    <col min="6" max="6" width="18.83203125" customWidth="1"/>
    <col min="7" max="7" width="15.83203125" customWidth="1"/>
    <col min="8" max="8" width="16.83203125" customWidth="1"/>
    <col min="9" max="9" width="15.1640625" customWidth="1"/>
  </cols>
  <sheetData>
    <row r="1" spans="1:9" x14ac:dyDescent="0.15">
      <c r="A1" t="s">
        <v>106</v>
      </c>
      <c r="C1" s="10">
        <f>+'Page 1 - FY2014-15'!B5</f>
        <v>0</v>
      </c>
      <c r="D1" t="s">
        <v>1586</v>
      </c>
      <c r="E1" s="106">
        <f>+'Page 1 - FY2014-15'!F7</f>
        <v>0</v>
      </c>
      <c r="G1" s="49" t="s">
        <v>636</v>
      </c>
    </row>
    <row r="2" spans="1:9" x14ac:dyDescent="0.15">
      <c r="A2" s="15" t="s">
        <v>635</v>
      </c>
    </row>
    <row r="3" spans="1:9" s="158" customFormat="1" ht="31.5" x14ac:dyDescent="0.15"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s="158" customFormat="1" ht="52.5" x14ac:dyDescent="0.15">
      <c r="D4" s="166"/>
      <c r="E4" s="166"/>
      <c r="F4" s="166"/>
      <c r="G4" s="166"/>
      <c r="H4" s="251" t="s">
        <v>193</v>
      </c>
      <c r="I4" s="251" t="s">
        <v>192</v>
      </c>
    </row>
    <row r="5" spans="1:9" s="158" customFormat="1" ht="11.25" thickBot="1" x14ac:dyDescent="0.2">
      <c r="D5" s="166"/>
      <c r="E5" s="166"/>
      <c r="F5" s="166"/>
      <c r="G5" s="166"/>
      <c r="I5" s="167"/>
    </row>
    <row r="6" spans="1:9" ht="11.25" thickBot="1" x14ac:dyDescent="0.2">
      <c r="A6" s="35" t="s">
        <v>195</v>
      </c>
      <c r="B6" s="35" t="s">
        <v>626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SUM(G6+H6)</f>
        <v>0</v>
      </c>
    </row>
    <row r="7" spans="1:9" x14ac:dyDescent="0.15">
      <c r="E7" s="5"/>
      <c r="F7" s="5"/>
      <c r="G7" s="5"/>
      <c r="I7" s="6"/>
    </row>
    <row r="8" spans="1:9" x14ac:dyDescent="0.15">
      <c r="A8" s="36" t="s">
        <v>1592</v>
      </c>
      <c r="C8" s="210" t="s">
        <v>196</v>
      </c>
      <c r="E8" s="5"/>
      <c r="F8" s="5"/>
      <c r="G8" s="5"/>
      <c r="I8" s="6"/>
    </row>
    <row r="9" spans="1:9" x14ac:dyDescent="0.15">
      <c r="A9" s="152" t="s">
        <v>74</v>
      </c>
      <c r="B9" s="188" t="s">
        <v>1159</v>
      </c>
      <c r="C9" s="115" t="s">
        <v>719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>SUM(G9+H9)</f>
        <v>0</v>
      </c>
    </row>
    <row r="10" spans="1:9" x14ac:dyDescent="0.15">
      <c r="A10" s="1" t="s">
        <v>1602</v>
      </c>
      <c r="B10" s="211" t="s">
        <v>1160</v>
      </c>
      <c r="C10" s="1" t="s">
        <v>443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ref="I10:I15" si="0">SUM(G10+H10)</f>
        <v>0</v>
      </c>
    </row>
    <row r="11" spans="1:9" x14ac:dyDescent="0.15">
      <c r="A11" s="108" t="s">
        <v>529</v>
      </c>
      <c r="B11" s="211" t="s">
        <v>1161</v>
      </c>
      <c r="C11" s="1" t="s">
        <v>720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88" t="s">
        <v>113</v>
      </c>
      <c r="B12" s="211" t="s">
        <v>1228</v>
      </c>
      <c r="C12" s="1" t="s">
        <v>721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88" t="s">
        <v>722</v>
      </c>
      <c r="B13" s="211" t="s">
        <v>1229</v>
      </c>
      <c r="C13" s="1" t="s">
        <v>73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" t="s">
        <v>105</v>
      </c>
      <c r="B14" s="211" t="s">
        <v>1230</v>
      </c>
      <c r="C14" s="2" t="s">
        <v>854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B15" s="211" t="s">
        <v>1231</v>
      </c>
      <c r="C15" s="1" t="s">
        <v>212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ht="11.25" thickBot="1" x14ac:dyDescent="0.2">
      <c r="B16" s="211"/>
      <c r="C16" s="1"/>
      <c r="D16" s="14"/>
      <c r="E16" s="14"/>
      <c r="F16" s="14"/>
      <c r="G16" s="14"/>
      <c r="I16" s="6"/>
    </row>
    <row r="17" spans="1:9" ht="12" thickTop="1" thickBot="1" x14ac:dyDescent="0.2">
      <c r="B17" s="211" t="s">
        <v>1232</v>
      </c>
      <c r="C17" s="35" t="s">
        <v>1158</v>
      </c>
      <c r="D17" s="42">
        <f t="shared" ref="D17:I17" si="1">SUM(D9:D15)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</row>
    <row r="18" spans="1:9" ht="12" thickTop="1" thickBot="1" x14ac:dyDescent="0.2">
      <c r="C18" s="1"/>
      <c r="D18" s="13"/>
      <c r="E18" s="13"/>
      <c r="F18" s="13"/>
      <c r="G18" s="13"/>
      <c r="I18" s="6"/>
    </row>
    <row r="19" spans="1:9" ht="11.25" thickBot="1" x14ac:dyDescent="0.2">
      <c r="A19" s="35" t="s">
        <v>1172</v>
      </c>
      <c r="D19" s="44">
        <f t="shared" ref="D19:I19" si="2">D6+D17</f>
        <v>0</v>
      </c>
      <c r="E19" s="44">
        <f t="shared" si="2"/>
        <v>0</v>
      </c>
      <c r="F19" s="44">
        <f t="shared" si="2"/>
        <v>0</v>
      </c>
      <c r="G19" s="44">
        <f t="shared" si="2"/>
        <v>0</v>
      </c>
      <c r="H19" s="44">
        <f t="shared" si="2"/>
        <v>0</v>
      </c>
      <c r="I19" s="44">
        <f t="shared" si="2"/>
        <v>0</v>
      </c>
    </row>
    <row r="20" spans="1:9" x14ac:dyDescent="0.15">
      <c r="E20" s="5"/>
      <c r="F20" s="5"/>
      <c r="G20" s="5"/>
      <c r="I20" s="6"/>
    </row>
    <row r="21" spans="1:9" x14ac:dyDescent="0.15">
      <c r="A21" s="660" t="s">
        <v>824</v>
      </c>
      <c r="B21" s="424"/>
      <c r="C21" s="495" t="s">
        <v>816</v>
      </c>
      <c r="D21" s="423"/>
      <c r="E21" s="423"/>
      <c r="F21" s="423"/>
      <c r="G21" s="423"/>
      <c r="H21" s="423"/>
      <c r="I21" s="179"/>
    </row>
    <row r="22" spans="1:9" x14ac:dyDescent="0.15">
      <c r="A22" s="436" t="s">
        <v>105</v>
      </c>
      <c r="B22" s="501" t="s">
        <v>1438</v>
      </c>
      <c r="C22" s="2" t="s">
        <v>827</v>
      </c>
      <c r="D22" s="41">
        <v>0</v>
      </c>
      <c r="E22" s="41">
        <v>0</v>
      </c>
      <c r="F22" s="41">
        <v>0</v>
      </c>
      <c r="G22" s="41">
        <v>0</v>
      </c>
      <c r="H22" s="534">
        <v>0</v>
      </c>
      <c r="I22" s="535">
        <f>SUM(G22+H22)</f>
        <v>0</v>
      </c>
    </row>
    <row r="23" spans="1:9" x14ac:dyDescent="0.15">
      <c r="A23" s="436"/>
      <c r="B23" s="501"/>
      <c r="C23" s="2"/>
      <c r="D23" s="14"/>
      <c r="E23" s="14"/>
      <c r="F23" s="14"/>
      <c r="G23" s="14"/>
      <c r="H23" s="308"/>
      <c r="I23" s="305"/>
    </row>
    <row r="24" spans="1:9" x14ac:dyDescent="0.15">
      <c r="E24" s="5"/>
      <c r="F24" s="5"/>
      <c r="G24" s="5"/>
      <c r="I24" s="6"/>
    </row>
    <row r="25" spans="1:9" x14ac:dyDescent="0.15">
      <c r="A25" s="36" t="s">
        <v>198</v>
      </c>
      <c r="C25" s="210" t="s">
        <v>627</v>
      </c>
      <c r="E25" s="5"/>
      <c r="F25" s="5"/>
      <c r="G25" s="5"/>
      <c r="I25" s="6"/>
    </row>
    <row r="26" spans="1:9" x14ac:dyDescent="0.15">
      <c r="A26" s="1" t="s">
        <v>423</v>
      </c>
      <c r="B26" s="211" t="s">
        <v>1240</v>
      </c>
      <c r="C26" s="115" t="s">
        <v>230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ref="I26:I35" si="3">SUM(G26+H26)</f>
        <v>0</v>
      </c>
    </row>
    <row r="27" spans="1:9" x14ac:dyDescent="0.15">
      <c r="A27" s="1" t="s">
        <v>424</v>
      </c>
      <c r="B27" s="211" t="s">
        <v>1244</v>
      </c>
      <c r="C27" s="115" t="s">
        <v>231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3"/>
        <v>0</v>
      </c>
    </row>
    <row r="28" spans="1:9" x14ac:dyDescent="0.15">
      <c r="A28" s="1" t="s">
        <v>425</v>
      </c>
      <c r="B28" s="211" t="s">
        <v>1245</v>
      </c>
      <c r="C28" s="1" t="s">
        <v>1246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3"/>
        <v>0</v>
      </c>
    </row>
    <row r="29" spans="1:9" x14ac:dyDescent="0.15">
      <c r="A29" s="1" t="s">
        <v>426</v>
      </c>
      <c r="B29" s="211" t="s">
        <v>1241</v>
      </c>
      <c r="C29" s="1" t="s">
        <v>119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3"/>
        <v>0</v>
      </c>
    </row>
    <row r="30" spans="1:9" x14ac:dyDescent="0.15">
      <c r="A30" s="1" t="s">
        <v>427</v>
      </c>
      <c r="B30" s="211" t="s">
        <v>1242</v>
      </c>
      <c r="C30" s="1" t="s">
        <v>124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3"/>
        <v>0</v>
      </c>
    </row>
    <row r="31" spans="1:9" x14ac:dyDescent="0.15">
      <c r="A31" s="1" t="s">
        <v>428</v>
      </c>
      <c r="B31" s="211" t="s">
        <v>1247</v>
      </c>
      <c r="C31" s="1" t="s">
        <v>156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3"/>
        <v>0</v>
      </c>
    </row>
    <row r="32" spans="1:9" x14ac:dyDescent="0.15">
      <c r="A32" s="108" t="s">
        <v>81</v>
      </c>
      <c r="B32" s="211" t="s">
        <v>1248</v>
      </c>
      <c r="C32" s="1" t="s">
        <v>82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 t="shared" si="3"/>
        <v>0</v>
      </c>
    </row>
    <row r="33" spans="1:9" x14ac:dyDescent="0.15">
      <c r="A33" s="1" t="s">
        <v>631</v>
      </c>
      <c r="B33" s="211" t="s">
        <v>1249</v>
      </c>
      <c r="C33" s="1" t="s">
        <v>173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si="3"/>
        <v>0</v>
      </c>
    </row>
    <row r="34" spans="1:9" x14ac:dyDescent="0.15">
      <c r="A34" s="152"/>
      <c r="B34" s="152"/>
      <c r="C34" s="665" t="s">
        <v>884</v>
      </c>
      <c r="D34" s="529">
        <f t="shared" ref="D34:I34" si="4">+D22</f>
        <v>0</v>
      </c>
      <c r="E34" s="529">
        <f t="shared" si="4"/>
        <v>0</v>
      </c>
      <c r="F34" s="529">
        <f t="shared" si="4"/>
        <v>0</v>
      </c>
      <c r="G34" s="529">
        <f t="shared" si="4"/>
        <v>0</v>
      </c>
      <c r="H34" s="529">
        <f t="shared" si="4"/>
        <v>0</v>
      </c>
      <c r="I34" s="529">
        <f t="shared" si="4"/>
        <v>0</v>
      </c>
    </row>
    <row r="35" spans="1:9" x14ac:dyDescent="0.15">
      <c r="A35" s="1" t="s">
        <v>1259</v>
      </c>
      <c r="B35" s="211" t="s">
        <v>1250</v>
      </c>
      <c r="C35" s="1" t="s">
        <v>1510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 t="shared" si="3"/>
        <v>0</v>
      </c>
    </row>
    <row r="36" spans="1:9" ht="11.25" thickBot="1" x14ac:dyDescent="0.2">
      <c r="A36" s="1"/>
      <c r="B36" s="6"/>
      <c r="C36" s="1"/>
      <c r="D36" s="14"/>
      <c r="F36" s="5"/>
      <c r="G36" s="5"/>
      <c r="I36" s="6"/>
    </row>
    <row r="37" spans="1:9" ht="12" thickTop="1" thickBot="1" x14ac:dyDescent="0.2">
      <c r="B37" s="211" t="s">
        <v>1251</v>
      </c>
      <c r="C37" s="35" t="s">
        <v>1173</v>
      </c>
      <c r="D37" s="42">
        <f t="shared" ref="D37:I37" si="5">SUM(D26:D35)</f>
        <v>0</v>
      </c>
      <c r="E37" s="42">
        <f t="shared" si="5"/>
        <v>0</v>
      </c>
      <c r="F37" s="42">
        <f t="shared" si="5"/>
        <v>0</v>
      </c>
      <c r="G37" s="42">
        <f t="shared" si="5"/>
        <v>0</v>
      </c>
      <c r="H37" s="42">
        <f t="shared" si="5"/>
        <v>0</v>
      </c>
      <c r="I37" s="42">
        <f t="shared" si="5"/>
        <v>0</v>
      </c>
    </row>
    <row r="38" spans="1:9" ht="11.25" thickTop="1" x14ac:dyDescent="0.15">
      <c r="E38" s="5"/>
      <c r="F38" s="5"/>
      <c r="G38" s="5"/>
      <c r="I38" s="6"/>
    </row>
    <row r="39" spans="1:9" x14ac:dyDescent="0.15">
      <c r="A39" s="155" t="s">
        <v>110</v>
      </c>
      <c r="C39" s="210" t="s">
        <v>737</v>
      </c>
      <c r="D39" s="159"/>
      <c r="E39" s="159"/>
      <c r="F39" s="159"/>
      <c r="G39" s="159"/>
      <c r="I39" s="6"/>
    </row>
    <row r="40" spans="1:9" x14ac:dyDescent="0.15">
      <c r="A40" s="558" t="s">
        <v>1522</v>
      </c>
      <c r="B40" s="726" t="s">
        <v>1252</v>
      </c>
      <c r="C40" s="138" t="s">
        <v>1516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>SUM(G40+H40)</f>
        <v>0</v>
      </c>
    </row>
    <row r="41" spans="1:9" x14ac:dyDescent="0.15">
      <c r="A41" s="725" t="s">
        <v>1681</v>
      </c>
      <c r="B41" s="160" t="s">
        <v>1253</v>
      </c>
      <c r="C41" s="138" t="s">
        <v>1517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>SUM(G41+H41)</f>
        <v>0</v>
      </c>
    </row>
    <row r="42" spans="1:9" x14ac:dyDescent="0.15">
      <c r="A42" s="725" t="s">
        <v>1680</v>
      </c>
      <c r="B42" s="160" t="s">
        <v>1254</v>
      </c>
      <c r="C42" s="138" t="s">
        <v>1518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>SUM(G42+H42)</f>
        <v>0</v>
      </c>
    </row>
    <row r="43" spans="1:9" ht="11.25" customHeight="1" x14ac:dyDescent="0.15">
      <c r="A43" s="725" t="s">
        <v>1675</v>
      </c>
      <c r="B43" s="160" t="s">
        <v>1255</v>
      </c>
      <c r="C43" s="692" t="s">
        <v>1676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>SUM(G43+H43)</f>
        <v>0</v>
      </c>
    </row>
    <row r="44" spans="1:9" ht="11.25" thickBot="1" x14ac:dyDescent="0.2">
      <c r="A44" s="558" t="s">
        <v>1526</v>
      </c>
      <c r="B44" s="160" t="s">
        <v>1260</v>
      </c>
      <c r="C44" s="138" t="s">
        <v>1520</v>
      </c>
      <c r="D44" s="150">
        <v>0</v>
      </c>
      <c r="E44" s="150">
        <v>0</v>
      </c>
      <c r="F44" s="150">
        <v>0</v>
      </c>
      <c r="G44" s="150">
        <v>0</v>
      </c>
      <c r="H44" s="41">
        <v>0</v>
      </c>
      <c r="I44" s="564">
        <f>SUM(G44+H44)</f>
        <v>0</v>
      </c>
    </row>
    <row r="45" spans="1:9" ht="12" thickTop="1" thickBot="1" x14ac:dyDescent="0.2">
      <c r="A45" s="149"/>
      <c r="B45" s="160" t="s">
        <v>1261</v>
      </c>
      <c r="C45" s="115" t="s">
        <v>724</v>
      </c>
      <c r="D45" s="151">
        <f t="shared" ref="D45:I45" si="6">SUM(D40:D44)</f>
        <v>0</v>
      </c>
      <c r="E45" s="151">
        <f t="shared" si="6"/>
        <v>0</v>
      </c>
      <c r="F45" s="151">
        <f t="shared" si="6"/>
        <v>0</v>
      </c>
      <c r="G45" s="151">
        <f t="shared" si="6"/>
        <v>0</v>
      </c>
      <c r="H45" s="151">
        <f t="shared" si="6"/>
        <v>0</v>
      </c>
      <c r="I45" s="169">
        <f t="shared" si="6"/>
        <v>0</v>
      </c>
    </row>
    <row r="46" spans="1:9" ht="12" thickTop="1" thickBot="1" x14ac:dyDescent="0.2">
      <c r="A46" s="149"/>
      <c r="B46" s="158"/>
      <c r="C46" s="115"/>
      <c r="D46" s="159"/>
      <c r="E46" s="159"/>
      <c r="F46" s="159"/>
      <c r="G46" s="159"/>
      <c r="I46" s="6"/>
    </row>
    <row r="47" spans="1:9" ht="11.25" thickBot="1" x14ac:dyDescent="0.2">
      <c r="A47" s="776" t="s">
        <v>1174</v>
      </c>
      <c r="B47" s="776"/>
      <c r="C47" s="783"/>
      <c r="D47" s="212">
        <f t="shared" ref="D47:I47" si="7">D37+D45</f>
        <v>0</v>
      </c>
      <c r="E47" s="212">
        <f t="shared" si="7"/>
        <v>0</v>
      </c>
      <c r="F47" s="212">
        <f t="shared" si="7"/>
        <v>0</v>
      </c>
      <c r="G47" s="212">
        <f t="shared" si="7"/>
        <v>0</v>
      </c>
      <c r="H47" s="212">
        <f t="shared" si="7"/>
        <v>0</v>
      </c>
      <c r="I47" s="212">
        <f t="shared" si="7"/>
        <v>0</v>
      </c>
    </row>
    <row r="48" spans="1:9" x14ac:dyDescent="0.15">
      <c r="A48" s="149"/>
      <c r="B48" s="158"/>
      <c r="C48" s="115" t="s">
        <v>725</v>
      </c>
      <c r="D48" s="159"/>
      <c r="E48" s="159"/>
      <c r="F48" s="159"/>
      <c r="G48" s="159"/>
      <c r="I48" s="6"/>
    </row>
    <row r="49" spans="1:9" ht="11.25" thickBot="1" x14ac:dyDescent="0.2">
      <c r="A49" s="149"/>
      <c r="B49" s="158"/>
      <c r="C49" s="115"/>
      <c r="D49" s="159"/>
      <c r="E49" s="159"/>
      <c r="F49" s="159"/>
      <c r="G49" s="159"/>
      <c r="I49" s="6"/>
    </row>
    <row r="50" spans="1:9" ht="12" thickTop="1" thickBot="1" x14ac:dyDescent="0.2">
      <c r="A50" s="158"/>
      <c r="B50" s="158"/>
      <c r="C50" s="172" t="s">
        <v>726</v>
      </c>
      <c r="D50" s="173">
        <f t="shared" ref="D50:I50" si="8">D19</f>
        <v>0</v>
      </c>
      <c r="E50" s="173">
        <f t="shared" si="8"/>
        <v>0</v>
      </c>
      <c r="F50" s="173">
        <f t="shared" si="8"/>
        <v>0</v>
      </c>
      <c r="G50" s="173">
        <f t="shared" si="8"/>
        <v>0</v>
      </c>
      <c r="H50" s="173">
        <f t="shared" si="8"/>
        <v>0</v>
      </c>
      <c r="I50" s="173">
        <f t="shared" si="8"/>
        <v>0</v>
      </c>
    </row>
    <row r="51" spans="1:9" ht="11.25" thickTop="1" x14ac:dyDescent="0.15">
      <c r="A51" s="158"/>
      <c r="B51" s="158"/>
      <c r="C51" s="158"/>
      <c r="D51" s="158"/>
      <c r="E51" s="158"/>
      <c r="F51" s="158"/>
      <c r="G51" s="158"/>
      <c r="I51" s="6"/>
    </row>
    <row r="52" spans="1:9" x14ac:dyDescent="0.15">
      <c r="A52" s="158"/>
      <c r="B52" s="158"/>
      <c r="C52" s="172" t="s">
        <v>727</v>
      </c>
      <c r="D52" s="158">
        <f t="shared" ref="D52:I52" si="9">D47-D50</f>
        <v>0</v>
      </c>
      <c r="E52" s="158">
        <f t="shared" si="9"/>
        <v>0</v>
      </c>
      <c r="F52" s="158">
        <f t="shared" si="9"/>
        <v>0</v>
      </c>
      <c r="G52" s="158">
        <f t="shared" si="9"/>
        <v>0</v>
      </c>
      <c r="H52" s="158">
        <f t="shared" si="9"/>
        <v>0</v>
      </c>
      <c r="I52" s="167">
        <f t="shared" si="9"/>
        <v>0</v>
      </c>
    </row>
    <row r="53" spans="1:9" x14ac:dyDescent="0.15">
      <c r="I53" s="6"/>
    </row>
    <row r="54" spans="1:9" x14ac:dyDescent="0.15">
      <c r="A54" s="135"/>
      <c r="C54" s="210" t="s">
        <v>111</v>
      </c>
      <c r="E54" s="5"/>
      <c r="F54" s="5"/>
      <c r="G54" s="5"/>
      <c r="I54" s="6"/>
    </row>
    <row r="55" spans="1:9" x14ac:dyDescent="0.15">
      <c r="A55" s="140" t="s">
        <v>634</v>
      </c>
      <c r="C55" s="1" t="s">
        <v>1142</v>
      </c>
      <c r="E55" s="5"/>
      <c r="F55" s="5"/>
      <c r="G55" s="5"/>
      <c r="I55" s="6"/>
    </row>
    <row r="56" spans="1:9" x14ac:dyDescent="0.15">
      <c r="A56" s="135"/>
      <c r="B56" s="7"/>
      <c r="C56" s="2" t="s">
        <v>1606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564">
        <f>G56+H56</f>
        <v>0</v>
      </c>
    </row>
    <row r="57" spans="1:9" x14ac:dyDescent="0.15">
      <c r="I57" s="6"/>
    </row>
    <row r="58" spans="1:9" x14ac:dyDescent="0.15">
      <c r="I58" s="6"/>
    </row>
  </sheetData>
  <sheetProtection formatCells="0" formatColumns="0" formatRows="0"/>
  <mergeCells count="1">
    <mergeCell ref="A47:C47"/>
  </mergeCells>
  <phoneticPr fontId="15" type="noConversion"/>
  <pageMargins left="0.5" right="0.5" top="0.75" bottom="0.75" header="0.5" footer="0.5"/>
  <pageSetup scale="65" firstPageNumber="43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opLeftCell="C31" workbookViewId="0">
      <selection activeCell="D5" sqref="D5"/>
    </sheetView>
  </sheetViews>
  <sheetFormatPr defaultColWidth="12" defaultRowHeight="10.5" x14ac:dyDescent="0.15"/>
  <cols>
    <col min="1" max="1" width="10.33203125" customWidth="1"/>
    <col min="2" max="2" width="4.33203125" customWidth="1"/>
    <col min="3" max="3" width="70.83203125" customWidth="1"/>
    <col min="4" max="4" width="15.83203125" customWidth="1"/>
    <col min="5" max="5" width="17.6640625" customWidth="1"/>
    <col min="6" max="6" width="19.33203125" customWidth="1"/>
    <col min="7" max="7" width="15.83203125" customWidth="1"/>
    <col min="8" max="8" width="13.33203125" customWidth="1"/>
    <col min="9" max="9" width="15.1640625" customWidth="1"/>
  </cols>
  <sheetData>
    <row r="1" spans="1:9" x14ac:dyDescent="0.15">
      <c r="A1" t="s">
        <v>106</v>
      </c>
      <c r="C1" s="10">
        <f>+'Page 1 - FY2014-15'!B5</f>
        <v>0</v>
      </c>
      <c r="D1" t="s">
        <v>1586</v>
      </c>
      <c r="E1" s="106">
        <f>+'Page 1 - FY2014-15'!F7</f>
        <v>0</v>
      </c>
      <c r="G1" s="38" t="s">
        <v>1588</v>
      </c>
    </row>
    <row r="2" spans="1:9" x14ac:dyDescent="0.15">
      <c r="A2" s="15" t="s">
        <v>637</v>
      </c>
      <c r="B2" s="15"/>
    </row>
    <row r="3" spans="1:9" x14ac:dyDescent="0.15">
      <c r="A3" s="185" t="s">
        <v>540</v>
      </c>
      <c r="B3" s="185"/>
      <c r="C3" s="185"/>
      <c r="D3" s="185"/>
      <c r="E3" s="185"/>
      <c r="F3" s="185"/>
      <c r="G3" s="185"/>
    </row>
    <row r="4" spans="1:9" s="158" customFormat="1" ht="42" x14ac:dyDescent="0.15">
      <c r="D4" s="686" t="s">
        <v>1701</v>
      </c>
      <c r="E4" s="686" t="s">
        <v>1702</v>
      </c>
      <c r="F4" s="686" t="s">
        <v>1703</v>
      </c>
      <c r="G4" s="686" t="s">
        <v>1704</v>
      </c>
      <c r="H4" s="686" t="s">
        <v>1705</v>
      </c>
      <c r="I4" s="686" t="s">
        <v>1706</v>
      </c>
    </row>
    <row r="5" spans="1:9" s="158" customFormat="1" ht="73.5" x14ac:dyDescent="0.15">
      <c r="D5" s="166"/>
      <c r="E5" s="166"/>
      <c r="F5" s="166"/>
      <c r="G5" s="166"/>
      <c r="H5" s="251" t="s">
        <v>193</v>
      </c>
      <c r="I5" s="251" t="s">
        <v>192</v>
      </c>
    </row>
    <row r="6" spans="1:9" s="158" customFormat="1" ht="11.25" thickBot="1" x14ac:dyDescent="0.2">
      <c r="D6" s="166"/>
      <c r="E6" s="166"/>
      <c r="F6" s="166"/>
      <c r="G6" s="166"/>
      <c r="I6" s="167"/>
    </row>
    <row r="7" spans="1:9" ht="11.25" thickBot="1" x14ac:dyDescent="0.2">
      <c r="A7" s="35" t="s">
        <v>195</v>
      </c>
      <c r="B7" s="35" t="s">
        <v>1589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171">
        <f>G7+H7</f>
        <v>0</v>
      </c>
    </row>
    <row r="8" spans="1:9" x14ac:dyDescent="0.15">
      <c r="A8" s="36" t="s">
        <v>1592</v>
      </c>
      <c r="C8" s="210" t="s">
        <v>196</v>
      </c>
      <c r="E8" s="5"/>
      <c r="F8" s="5"/>
      <c r="G8" s="5"/>
      <c r="I8" s="6"/>
    </row>
    <row r="9" spans="1:9" x14ac:dyDescent="0.15">
      <c r="A9" s="1" t="s">
        <v>1602</v>
      </c>
      <c r="B9" s="211" t="s">
        <v>1159</v>
      </c>
      <c r="C9" s="1" t="s">
        <v>443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>G9+H9</f>
        <v>0</v>
      </c>
    </row>
    <row r="10" spans="1:9" x14ac:dyDescent="0.15">
      <c r="A10" s="188" t="s">
        <v>75</v>
      </c>
      <c r="B10" s="188" t="s">
        <v>1160</v>
      </c>
      <c r="C10" t="s">
        <v>77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>G10+H10</f>
        <v>0</v>
      </c>
    </row>
    <row r="11" spans="1:9" x14ac:dyDescent="0.15">
      <c r="A11" s="108" t="s">
        <v>78</v>
      </c>
      <c r="B11" s="211" t="s">
        <v>1161</v>
      </c>
      <c r="C11" s="1" t="s">
        <v>79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>G11+H11</f>
        <v>0</v>
      </c>
    </row>
    <row r="12" spans="1:9" x14ac:dyDescent="0.15">
      <c r="A12" s="1" t="s">
        <v>105</v>
      </c>
      <c r="B12" s="211" t="s">
        <v>1228</v>
      </c>
      <c r="C12" s="2" t="s">
        <v>860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>G12+H12</f>
        <v>0</v>
      </c>
    </row>
    <row r="13" spans="1:9" x14ac:dyDescent="0.15">
      <c r="A13" s="188"/>
      <c r="B13" s="211" t="s">
        <v>1230</v>
      </c>
      <c r="C13" s="1" t="s">
        <v>212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>G13+H13</f>
        <v>0</v>
      </c>
    </row>
    <row r="14" spans="1:9" ht="11.25" thickBot="1" x14ac:dyDescent="0.2">
      <c r="D14" s="14"/>
      <c r="E14" s="14"/>
      <c r="F14" s="14"/>
      <c r="G14" s="14"/>
      <c r="I14" s="6"/>
    </row>
    <row r="15" spans="1:9" ht="12" thickTop="1" thickBot="1" x14ac:dyDescent="0.2">
      <c r="B15" s="188" t="s">
        <v>1231</v>
      </c>
      <c r="C15" s="35" t="s">
        <v>213</v>
      </c>
      <c r="D15" s="42">
        <f t="shared" ref="D15:I15" si="0">SUM(D9:D13)</f>
        <v>0</v>
      </c>
      <c r="E15" s="42">
        <f t="shared" si="0"/>
        <v>0</v>
      </c>
      <c r="F15" s="42">
        <f t="shared" si="0"/>
        <v>0</v>
      </c>
      <c r="G15" s="42">
        <f t="shared" si="0"/>
        <v>0</v>
      </c>
      <c r="H15" s="42">
        <f t="shared" si="0"/>
        <v>0</v>
      </c>
      <c r="I15" s="42">
        <f t="shared" si="0"/>
        <v>0</v>
      </c>
    </row>
    <row r="16" spans="1:9" ht="12" thickTop="1" thickBot="1" x14ac:dyDescent="0.2">
      <c r="C16" s="1"/>
      <c r="D16" s="13"/>
      <c r="E16" s="13"/>
      <c r="F16" s="13"/>
      <c r="G16" s="13"/>
      <c r="I16" s="6"/>
    </row>
    <row r="17" spans="1:9" ht="11.25" thickBot="1" x14ac:dyDescent="0.2">
      <c r="A17" s="35" t="s">
        <v>1178</v>
      </c>
      <c r="D17" s="44">
        <f t="shared" ref="D17:I17" si="1">D7+D15</f>
        <v>0</v>
      </c>
      <c r="E17" s="44">
        <f t="shared" si="1"/>
        <v>0</v>
      </c>
      <c r="F17" s="44">
        <f t="shared" si="1"/>
        <v>0</v>
      </c>
      <c r="G17" s="44">
        <f t="shared" si="1"/>
        <v>0</v>
      </c>
      <c r="H17" s="44">
        <f t="shared" si="1"/>
        <v>0</v>
      </c>
      <c r="I17" s="44">
        <f t="shared" si="1"/>
        <v>0</v>
      </c>
    </row>
    <row r="18" spans="1:9" x14ac:dyDescent="0.15">
      <c r="A18" s="35"/>
      <c r="D18" s="13"/>
      <c r="E18" s="13"/>
      <c r="F18" s="13"/>
      <c r="G18" s="13"/>
      <c r="I18" s="6"/>
    </row>
    <row r="19" spans="1:9" x14ac:dyDescent="0.15">
      <c r="A19" s="660" t="s">
        <v>824</v>
      </c>
      <c r="B19" s="424"/>
      <c r="C19" s="495" t="s">
        <v>816</v>
      </c>
      <c r="D19" s="423"/>
      <c r="E19" s="423"/>
      <c r="F19" s="423"/>
      <c r="G19" s="423"/>
      <c r="H19" s="423"/>
      <c r="I19" s="179"/>
    </row>
    <row r="20" spans="1:9" x14ac:dyDescent="0.15">
      <c r="A20" s="436" t="s">
        <v>105</v>
      </c>
      <c r="B20" s="501" t="s">
        <v>27</v>
      </c>
      <c r="C20" s="2" t="s">
        <v>827</v>
      </c>
      <c r="D20" s="41">
        <v>0</v>
      </c>
      <c r="E20" s="41">
        <v>0</v>
      </c>
      <c r="F20" s="41">
        <v>0</v>
      </c>
      <c r="G20" s="41">
        <v>0</v>
      </c>
      <c r="H20" s="534">
        <v>0</v>
      </c>
      <c r="I20" s="535">
        <f>SUM(G20+H20)</f>
        <v>0</v>
      </c>
    </row>
    <row r="21" spans="1:9" x14ac:dyDescent="0.15">
      <c r="A21" s="436"/>
      <c r="B21" s="501"/>
      <c r="C21" s="2"/>
      <c r="D21" s="14"/>
      <c r="E21" s="14"/>
      <c r="F21" s="14"/>
      <c r="G21" s="14"/>
      <c r="H21" s="308"/>
      <c r="I21" s="305"/>
    </row>
    <row r="22" spans="1:9" x14ac:dyDescent="0.15">
      <c r="A22" s="3"/>
      <c r="B22" s="3"/>
      <c r="D22" s="190"/>
      <c r="E22" s="189"/>
      <c r="F22" s="191"/>
      <c r="G22" s="123"/>
      <c r="I22" s="6"/>
    </row>
    <row r="23" spans="1:9" x14ac:dyDescent="0.15">
      <c r="A23" s="36" t="s">
        <v>198</v>
      </c>
      <c r="C23" s="210" t="s">
        <v>627</v>
      </c>
      <c r="D23" s="189"/>
      <c r="E23" s="189"/>
      <c r="F23" s="189"/>
      <c r="G23" s="189"/>
      <c r="I23" s="6"/>
    </row>
    <row r="24" spans="1:9" x14ac:dyDescent="0.15">
      <c r="A24" s="1" t="s">
        <v>423</v>
      </c>
      <c r="B24" s="211" t="s">
        <v>1232</v>
      </c>
      <c r="C24" s="115" t="s">
        <v>230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564">
        <f t="shared" ref="I24:I33" si="2">G24+H24</f>
        <v>0</v>
      </c>
    </row>
    <row r="25" spans="1:9" x14ac:dyDescent="0.15">
      <c r="A25" s="1" t="s">
        <v>424</v>
      </c>
      <c r="B25" s="211" t="s">
        <v>1240</v>
      </c>
      <c r="C25" s="115" t="s">
        <v>231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564">
        <f t="shared" si="2"/>
        <v>0</v>
      </c>
    </row>
    <row r="26" spans="1:9" x14ac:dyDescent="0.15">
      <c r="A26" s="1" t="s">
        <v>425</v>
      </c>
      <c r="B26" s="211" t="s">
        <v>1244</v>
      </c>
      <c r="C26" s="1" t="s">
        <v>1246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si="2"/>
        <v>0</v>
      </c>
    </row>
    <row r="27" spans="1:9" x14ac:dyDescent="0.15">
      <c r="A27" s="1" t="s">
        <v>426</v>
      </c>
      <c r="B27" s="211" t="s">
        <v>1245</v>
      </c>
      <c r="C27" s="1" t="s">
        <v>119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2"/>
        <v>0</v>
      </c>
    </row>
    <row r="28" spans="1:9" x14ac:dyDescent="0.15">
      <c r="A28" s="1" t="s">
        <v>427</v>
      </c>
      <c r="B28" s="211" t="s">
        <v>1241</v>
      </c>
      <c r="C28" s="1" t="s">
        <v>124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2"/>
        <v>0</v>
      </c>
    </row>
    <row r="29" spans="1:9" x14ac:dyDescent="0.15">
      <c r="A29" s="1" t="s">
        <v>428</v>
      </c>
      <c r="B29" s="211" t="s">
        <v>1242</v>
      </c>
      <c r="C29" s="1" t="s">
        <v>156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2"/>
        <v>0</v>
      </c>
    </row>
    <row r="30" spans="1:9" x14ac:dyDescent="0.15">
      <c r="A30" s="108" t="s">
        <v>81</v>
      </c>
      <c r="B30" s="211" t="s">
        <v>1247</v>
      </c>
      <c r="C30" s="1" t="s">
        <v>82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2"/>
        <v>0</v>
      </c>
    </row>
    <row r="31" spans="1:9" x14ac:dyDescent="0.15">
      <c r="A31" s="1" t="s">
        <v>631</v>
      </c>
      <c r="B31" s="211" t="s">
        <v>1248</v>
      </c>
      <c r="C31" s="1" t="s">
        <v>173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2"/>
        <v>0</v>
      </c>
    </row>
    <row r="32" spans="1:9" x14ac:dyDescent="0.15">
      <c r="A32" s="152"/>
      <c r="B32" s="152"/>
      <c r="C32" s="665" t="s">
        <v>28</v>
      </c>
      <c r="D32" s="529">
        <f t="shared" ref="D32:I32" si="3">+D20</f>
        <v>0</v>
      </c>
      <c r="E32" s="529">
        <f t="shared" si="3"/>
        <v>0</v>
      </c>
      <c r="F32" s="529">
        <f t="shared" si="3"/>
        <v>0</v>
      </c>
      <c r="G32" s="529">
        <f t="shared" si="3"/>
        <v>0</v>
      </c>
      <c r="H32" s="529">
        <f t="shared" si="3"/>
        <v>0</v>
      </c>
      <c r="I32" s="529">
        <f t="shared" si="3"/>
        <v>0</v>
      </c>
    </row>
    <row r="33" spans="1:11" x14ac:dyDescent="0.15">
      <c r="A33" s="1" t="s">
        <v>1259</v>
      </c>
      <c r="B33" s="211" t="s">
        <v>1249</v>
      </c>
      <c r="C33" s="1" t="s">
        <v>1510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si="2"/>
        <v>0</v>
      </c>
    </row>
    <row r="34" spans="1:11" ht="11.25" thickBot="1" x14ac:dyDescent="0.2">
      <c r="D34" s="5"/>
      <c r="E34" s="5"/>
      <c r="F34" s="5"/>
      <c r="G34" s="5"/>
      <c r="I34" s="6"/>
    </row>
    <row r="35" spans="1:11" ht="12" thickTop="1" thickBot="1" x14ac:dyDescent="0.2">
      <c r="A35" s="1"/>
      <c r="B35" s="211" t="s">
        <v>1250</v>
      </c>
      <c r="C35" s="35" t="s">
        <v>1175</v>
      </c>
      <c r="D35" s="729">
        <f t="shared" ref="D35:I35" si="4">SUM(D24:D33)</f>
        <v>0</v>
      </c>
      <c r="E35" s="729">
        <f t="shared" si="4"/>
        <v>0</v>
      </c>
      <c r="F35" s="729">
        <f t="shared" si="4"/>
        <v>0</v>
      </c>
      <c r="G35" s="729">
        <f t="shared" si="4"/>
        <v>0</v>
      </c>
      <c r="H35" s="729">
        <f t="shared" si="4"/>
        <v>0</v>
      </c>
      <c r="I35" s="729">
        <f t="shared" si="4"/>
        <v>0</v>
      </c>
      <c r="J35" s="728"/>
      <c r="K35" s="289"/>
    </row>
    <row r="36" spans="1:11" ht="11.25" thickTop="1" x14ac:dyDescent="0.15">
      <c r="I36" s="6"/>
    </row>
    <row r="37" spans="1:11" x14ac:dyDescent="0.15">
      <c r="A37" s="155" t="s">
        <v>110</v>
      </c>
      <c r="C37" s="210" t="s">
        <v>737</v>
      </c>
      <c r="D37" s="159"/>
      <c r="E37" s="159"/>
      <c r="F37" s="159"/>
      <c r="G37" s="159"/>
      <c r="I37" s="6"/>
    </row>
    <row r="38" spans="1:11" x14ac:dyDescent="0.15">
      <c r="A38" s="558" t="s">
        <v>1522</v>
      </c>
      <c r="B38" s="726" t="s">
        <v>1251</v>
      </c>
      <c r="C38" s="138" t="s">
        <v>1516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>G38+H38</f>
        <v>0</v>
      </c>
    </row>
    <row r="39" spans="1:11" x14ac:dyDescent="0.15">
      <c r="A39" s="725" t="s">
        <v>1681</v>
      </c>
      <c r="B39" s="726" t="s">
        <v>1252</v>
      </c>
      <c r="C39" s="138" t="s">
        <v>1517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>G39+H39</f>
        <v>0</v>
      </c>
    </row>
    <row r="40" spans="1:11" x14ac:dyDescent="0.15">
      <c r="A40" s="725" t="s">
        <v>1680</v>
      </c>
      <c r="B40" s="726" t="s">
        <v>1253</v>
      </c>
      <c r="C40" s="138" t="s">
        <v>1518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>G40+H40</f>
        <v>0</v>
      </c>
    </row>
    <row r="41" spans="1:11" ht="11.25" customHeight="1" x14ac:dyDescent="0.15">
      <c r="A41" s="725" t="s">
        <v>1675</v>
      </c>
      <c r="B41" s="726" t="s">
        <v>1254</v>
      </c>
      <c r="C41" s="692" t="s">
        <v>1676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>G41+H41</f>
        <v>0</v>
      </c>
    </row>
    <row r="42" spans="1:11" ht="11.25" thickBot="1" x14ac:dyDescent="0.2">
      <c r="A42" s="558" t="s">
        <v>1526</v>
      </c>
      <c r="B42" s="726" t="s">
        <v>1255</v>
      </c>
      <c r="C42" s="138" t="s">
        <v>1520</v>
      </c>
      <c r="D42" s="150">
        <v>0</v>
      </c>
      <c r="E42" s="150">
        <v>0</v>
      </c>
      <c r="F42" s="150">
        <v>0</v>
      </c>
      <c r="G42" s="150">
        <v>0</v>
      </c>
      <c r="H42" s="41">
        <v>0</v>
      </c>
      <c r="I42" s="564">
        <f>G42+H42</f>
        <v>0</v>
      </c>
    </row>
    <row r="43" spans="1:11" ht="12" thickTop="1" thickBot="1" x14ac:dyDescent="0.2">
      <c r="A43" s="149"/>
      <c r="B43" s="160" t="s">
        <v>1260</v>
      </c>
      <c r="C43" s="115" t="s">
        <v>724</v>
      </c>
      <c r="D43" s="151">
        <f t="shared" ref="D43:I43" si="5">SUM(D38:D42)</f>
        <v>0</v>
      </c>
      <c r="E43" s="151">
        <f t="shared" si="5"/>
        <v>0</v>
      </c>
      <c r="F43" s="151">
        <f t="shared" si="5"/>
        <v>0</v>
      </c>
      <c r="G43" s="151">
        <f t="shared" si="5"/>
        <v>0</v>
      </c>
      <c r="H43" s="151">
        <f t="shared" si="5"/>
        <v>0</v>
      </c>
      <c r="I43" s="169">
        <f t="shared" si="5"/>
        <v>0</v>
      </c>
    </row>
    <row r="44" spans="1:11" ht="12" thickTop="1" thickBot="1" x14ac:dyDescent="0.2">
      <c r="A44" s="149"/>
      <c r="B44" s="158"/>
      <c r="C44" s="115"/>
      <c r="D44" s="159"/>
      <c r="E44" s="159"/>
      <c r="F44" s="159"/>
      <c r="G44" s="159"/>
      <c r="I44" s="6"/>
    </row>
    <row r="45" spans="1:11" ht="11.25" thickBot="1" x14ac:dyDescent="0.2">
      <c r="A45" s="776" t="s">
        <v>1176</v>
      </c>
      <c r="B45" s="776"/>
      <c r="C45" s="777"/>
      <c r="D45" s="212">
        <f t="shared" ref="D45:I45" si="6">D35+D43</f>
        <v>0</v>
      </c>
      <c r="E45" s="212">
        <f t="shared" si="6"/>
        <v>0</v>
      </c>
      <c r="F45" s="212">
        <f t="shared" si="6"/>
        <v>0</v>
      </c>
      <c r="G45" s="212">
        <f t="shared" si="6"/>
        <v>0</v>
      </c>
      <c r="H45" s="212">
        <f t="shared" si="6"/>
        <v>0</v>
      </c>
      <c r="I45" s="212">
        <f t="shared" si="6"/>
        <v>0</v>
      </c>
    </row>
    <row r="46" spans="1:11" x14ac:dyDescent="0.15">
      <c r="A46" s="149"/>
      <c r="B46" s="158"/>
      <c r="C46" s="115" t="s">
        <v>725</v>
      </c>
      <c r="D46" s="159"/>
      <c r="E46" s="159"/>
      <c r="F46" s="159"/>
      <c r="G46" s="159"/>
      <c r="I46" s="6"/>
    </row>
    <row r="47" spans="1:11" ht="11.25" thickBot="1" x14ac:dyDescent="0.2">
      <c r="A47" s="149"/>
      <c r="B47" s="158"/>
      <c r="C47" s="115"/>
      <c r="D47" s="159"/>
      <c r="E47" s="159"/>
      <c r="F47" s="159"/>
      <c r="G47" s="159"/>
      <c r="I47" s="6"/>
    </row>
    <row r="48" spans="1:11" ht="12" thickTop="1" thickBot="1" x14ac:dyDescent="0.2">
      <c r="A48" s="158"/>
      <c r="B48" s="158"/>
      <c r="C48" s="172" t="s">
        <v>726</v>
      </c>
      <c r="D48" s="173">
        <f t="shared" ref="D48:I48" si="7">D17</f>
        <v>0</v>
      </c>
      <c r="E48" s="173">
        <f t="shared" si="7"/>
        <v>0</v>
      </c>
      <c r="F48" s="173">
        <f t="shared" si="7"/>
        <v>0</v>
      </c>
      <c r="G48" s="173">
        <f t="shared" si="7"/>
        <v>0</v>
      </c>
      <c r="H48" s="173">
        <f t="shared" si="7"/>
        <v>0</v>
      </c>
      <c r="I48" s="173">
        <f t="shared" si="7"/>
        <v>0</v>
      </c>
    </row>
    <row r="49" spans="1:9" ht="11.25" thickTop="1" x14ac:dyDescent="0.15">
      <c r="A49" s="158"/>
      <c r="B49" s="158"/>
      <c r="C49" s="158"/>
      <c r="D49" s="158"/>
      <c r="E49" s="158"/>
      <c r="F49" s="158"/>
      <c r="G49" s="158"/>
      <c r="I49" s="6"/>
    </row>
    <row r="50" spans="1:9" x14ac:dyDescent="0.15">
      <c r="A50" s="158"/>
      <c r="B50" s="158"/>
      <c r="C50" s="172" t="s">
        <v>727</v>
      </c>
      <c r="D50" s="158">
        <f t="shared" ref="D50:I50" si="8">D45-D48</f>
        <v>0</v>
      </c>
      <c r="E50" s="158">
        <f t="shared" si="8"/>
        <v>0</v>
      </c>
      <c r="F50" s="158">
        <f t="shared" si="8"/>
        <v>0</v>
      </c>
      <c r="G50" s="158">
        <f t="shared" si="8"/>
        <v>0</v>
      </c>
      <c r="H50" s="158">
        <f t="shared" si="8"/>
        <v>0</v>
      </c>
      <c r="I50" s="167">
        <f t="shared" si="8"/>
        <v>0</v>
      </c>
    </row>
    <row r="51" spans="1:9" x14ac:dyDescent="0.15">
      <c r="I51" s="6"/>
    </row>
    <row r="53" spans="1:9" x14ac:dyDescent="0.15">
      <c r="C53" s="1"/>
    </row>
    <row r="54" spans="1:9" x14ac:dyDescent="0.15">
      <c r="A54" s="3" t="s">
        <v>1329</v>
      </c>
    </row>
    <row r="56" spans="1:9" x14ac:dyDescent="0.15">
      <c r="A56" s="653" t="s">
        <v>50</v>
      </c>
      <c r="B56" s="719"/>
      <c r="C56" s="719"/>
      <c r="D56" s="719"/>
      <c r="E56" s="719"/>
      <c r="F56" s="719"/>
    </row>
  </sheetData>
  <sheetProtection formatCells="0" formatColumns="0" formatRows="0"/>
  <mergeCells count="1">
    <mergeCell ref="A45:C45"/>
  </mergeCells>
  <phoneticPr fontId="15" type="noConversion"/>
  <pageMargins left="0.5" right="0.5" top="0.75" bottom="0.75" header="0.5" footer="0.5"/>
  <pageSetup scale="66" firstPageNumber="44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34" workbookViewId="0">
      <selection activeCell="D4" sqref="D4"/>
    </sheetView>
  </sheetViews>
  <sheetFormatPr defaultColWidth="12" defaultRowHeight="10.5" x14ac:dyDescent="0.15"/>
  <cols>
    <col min="1" max="1" width="10.33203125" customWidth="1"/>
    <col min="2" max="2" width="4.33203125" customWidth="1"/>
    <col min="3" max="3" width="70.83203125" customWidth="1"/>
    <col min="4" max="4" width="15.83203125" customWidth="1"/>
    <col min="5" max="5" width="18.83203125" customWidth="1"/>
    <col min="6" max="6" width="18" customWidth="1"/>
    <col min="7" max="7" width="17.1640625" customWidth="1"/>
    <col min="8" max="8" width="18.1640625" customWidth="1"/>
    <col min="9" max="9" width="19" customWidth="1"/>
  </cols>
  <sheetData>
    <row r="1" spans="1:9" x14ac:dyDescent="0.15">
      <c r="A1" t="s">
        <v>106</v>
      </c>
      <c r="C1" s="10">
        <f>+'Page 1 - FY2014-15'!B5</f>
        <v>0</v>
      </c>
      <c r="D1" t="s">
        <v>1586</v>
      </c>
      <c r="E1" s="106">
        <f>+'Page 1 - FY2014-15'!F7</f>
        <v>0</v>
      </c>
      <c r="G1" s="38" t="s">
        <v>1588</v>
      </c>
    </row>
    <row r="2" spans="1:9" x14ac:dyDescent="0.15">
      <c r="A2" s="15" t="s">
        <v>541</v>
      </c>
      <c r="B2" s="15"/>
    </row>
    <row r="3" spans="1:9" ht="31.5" x14ac:dyDescent="0.15">
      <c r="A3" s="158"/>
      <c r="B3" s="158"/>
      <c r="C3" s="158"/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A4" s="158"/>
      <c r="B4" s="158"/>
      <c r="C4" s="158"/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A5" s="158"/>
      <c r="B5" s="158"/>
      <c r="C5" s="158"/>
      <c r="D5" s="166"/>
      <c r="E5" s="166"/>
      <c r="F5" s="166"/>
      <c r="G5" s="166"/>
      <c r="I5" s="6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SUM(G6+H6)</f>
        <v>0</v>
      </c>
    </row>
    <row r="7" spans="1:9" x14ac:dyDescent="0.15">
      <c r="A7" s="36" t="s">
        <v>1592</v>
      </c>
      <c r="C7" s="210" t="s">
        <v>196</v>
      </c>
      <c r="E7" s="5"/>
      <c r="F7" s="5"/>
      <c r="G7" s="5"/>
      <c r="I7" s="6"/>
    </row>
    <row r="8" spans="1:9" x14ac:dyDescent="0.15">
      <c r="A8" s="108" t="s">
        <v>83</v>
      </c>
      <c r="B8" s="211" t="s">
        <v>1159</v>
      </c>
      <c r="C8" t="s">
        <v>84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SUM(G8+H8)</f>
        <v>0</v>
      </c>
    </row>
    <row r="9" spans="1:9" x14ac:dyDescent="0.15">
      <c r="A9" s="108" t="s">
        <v>1602</v>
      </c>
      <c r="B9" s="211" t="s">
        <v>1160</v>
      </c>
      <c r="C9" s="1" t="s">
        <v>443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 t="shared" ref="I9:I17" si="0">SUM(G9+H9)</f>
        <v>0</v>
      </c>
    </row>
    <row r="10" spans="1:9" x14ac:dyDescent="0.15">
      <c r="A10" s="188" t="s">
        <v>75</v>
      </c>
      <c r="B10" s="188" t="s">
        <v>1161</v>
      </c>
      <c r="C10" t="s">
        <v>77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 t="shared" si="0"/>
        <v>0</v>
      </c>
    </row>
    <row r="11" spans="1:9" x14ac:dyDescent="0.15">
      <c r="A11" s="108" t="s">
        <v>85</v>
      </c>
      <c r="B11" s="211" t="s">
        <v>1228</v>
      </c>
      <c r="C11" s="1" t="s">
        <v>86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 t="shared" si="0"/>
        <v>0</v>
      </c>
    </row>
    <row r="12" spans="1:9" x14ac:dyDescent="0.15">
      <c r="A12" s="108" t="s">
        <v>87</v>
      </c>
      <c r="B12" s="211" t="s">
        <v>1229</v>
      </c>
      <c r="C12" s="1" t="s">
        <v>91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 t="shared" si="0"/>
        <v>0</v>
      </c>
    </row>
    <row r="13" spans="1:9" x14ac:dyDescent="0.15">
      <c r="A13" s="108" t="s">
        <v>88</v>
      </c>
      <c r="B13" s="211" t="s">
        <v>1230</v>
      </c>
      <c r="C13" s="1" t="s">
        <v>92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564">
        <f t="shared" si="0"/>
        <v>0</v>
      </c>
    </row>
    <row r="14" spans="1:9" x14ac:dyDescent="0.15">
      <c r="A14" s="108" t="s">
        <v>89</v>
      </c>
      <c r="B14" s="211" t="s">
        <v>1231</v>
      </c>
      <c r="C14" s="1" t="s">
        <v>93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564">
        <f t="shared" si="0"/>
        <v>0</v>
      </c>
    </row>
    <row r="15" spans="1:9" x14ac:dyDescent="0.15">
      <c r="A15" s="108" t="s">
        <v>90</v>
      </c>
      <c r="B15" s="211" t="s">
        <v>1232</v>
      </c>
      <c r="C15" s="1" t="s">
        <v>215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564">
        <f t="shared" si="0"/>
        <v>0</v>
      </c>
    </row>
    <row r="16" spans="1:9" x14ac:dyDescent="0.15">
      <c r="A16" s="1" t="s">
        <v>105</v>
      </c>
      <c r="B16" s="211" t="s">
        <v>1240</v>
      </c>
      <c r="C16" s="2" t="s">
        <v>854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564">
        <f t="shared" si="0"/>
        <v>0</v>
      </c>
    </row>
    <row r="17" spans="1:9" x14ac:dyDescent="0.15">
      <c r="A17" s="188"/>
      <c r="B17" s="211" t="s">
        <v>1244</v>
      </c>
      <c r="C17" s="1" t="s">
        <v>212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564">
        <f t="shared" si="0"/>
        <v>0</v>
      </c>
    </row>
    <row r="18" spans="1:9" ht="11.25" thickBot="1" x14ac:dyDescent="0.2">
      <c r="D18" s="14"/>
      <c r="E18" s="14"/>
      <c r="F18" s="14"/>
      <c r="G18" s="14"/>
      <c r="I18" s="6"/>
    </row>
    <row r="19" spans="1:9" ht="12" thickTop="1" thickBot="1" x14ac:dyDescent="0.2">
      <c r="B19" s="211" t="s">
        <v>1245</v>
      </c>
      <c r="C19" s="35" t="s">
        <v>1170</v>
      </c>
      <c r="D19" s="42">
        <f t="shared" ref="D19:I19" si="1">SUM(D8:D18)</f>
        <v>0</v>
      </c>
      <c r="E19" s="42">
        <f t="shared" si="1"/>
        <v>0</v>
      </c>
      <c r="F19" s="42">
        <f t="shared" si="1"/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</row>
    <row r="20" spans="1:9" ht="12" thickTop="1" thickBot="1" x14ac:dyDescent="0.2">
      <c r="C20" s="1"/>
      <c r="D20" s="13"/>
      <c r="E20" s="13"/>
      <c r="F20" s="13"/>
      <c r="G20" s="13"/>
      <c r="I20" s="6"/>
    </row>
    <row r="21" spans="1:9" ht="11.25" thickBot="1" x14ac:dyDescent="0.2">
      <c r="A21" s="35" t="s">
        <v>1177</v>
      </c>
      <c r="D21" s="44">
        <f t="shared" ref="D21:I21" si="2">D6+D19</f>
        <v>0</v>
      </c>
      <c r="E21" s="44">
        <f t="shared" si="2"/>
        <v>0</v>
      </c>
      <c r="F21" s="44">
        <f t="shared" si="2"/>
        <v>0</v>
      </c>
      <c r="G21" s="44">
        <f t="shared" si="2"/>
        <v>0</v>
      </c>
      <c r="H21" s="44">
        <f t="shared" si="2"/>
        <v>0</v>
      </c>
      <c r="I21" s="44">
        <f t="shared" si="2"/>
        <v>0</v>
      </c>
    </row>
    <row r="22" spans="1:9" x14ac:dyDescent="0.15">
      <c r="C22" s="40"/>
      <c r="I22" s="6"/>
    </row>
    <row r="23" spans="1:9" x14ac:dyDescent="0.15">
      <c r="A23" s="660" t="s">
        <v>824</v>
      </c>
      <c r="B23" s="424"/>
      <c r="C23" s="495" t="s">
        <v>816</v>
      </c>
      <c r="D23" s="423"/>
      <c r="E23" s="423"/>
      <c r="F23" s="423"/>
      <c r="G23" s="423"/>
      <c r="H23" s="423"/>
      <c r="I23" s="179"/>
    </row>
    <row r="24" spans="1:9" x14ac:dyDescent="0.15">
      <c r="A24" s="436" t="s">
        <v>105</v>
      </c>
      <c r="B24" s="501" t="s">
        <v>51</v>
      </c>
      <c r="C24" s="2" t="s">
        <v>827</v>
      </c>
      <c r="D24" s="41">
        <v>0</v>
      </c>
      <c r="E24" s="41">
        <v>0</v>
      </c>
      <c r="F24" s="41">
        <v>0</v>
      </c>
      <c r="G24" s="41">
        <v>0</v>
      </c>
      <c r="H24" s="534">
        <v>0</v>
      </c>
      <c r="I24" s="535">
        <f>SUM(G24+H24)</f>
        <v>0</v>
      </c>
    </row>
    <row r="25" spans="1:9" x14ac:dyDescent="0.15">
      <c r="A25" s="436"/>
      <c r="B25" s="501"/>
      <c r="C25" s="2"/>
      <c r="D25" s="14"/>
      <c r="E25" s="14"/>
      <c r="F25" s="14"/>
      <c r="G25" s="14"/>
      <c r="H25" s="308"/>
      <c r="I25" s="305"/>
    </row>
    <row r="26" spans="1:9" x14ac:dyDescent="0.15">
      <c r="C26" s="40"/>
      <c r="I26" s="6"/>
    </row>
    <row r="27" spans="1:9" x14ac:dyDescent="0.15">
      <c r="A27" s="36" t="s">
        <v>198</v>
      </c>
      <c r="C27" s="210" t="s">
        <v>627</v>
      </c>
      <c r="D27" s="189"/>
      <c r="E27" s="189"/>
      <c r="F27" s="189"/>
      <c r="G27" s="189"/>
      <c r="I27" s="6"/>
    </row>
    <row r="28" spans="1:9" x14ac:dyDescent="0.15">
      <c r="A28" s="1" t="s">
        <v>423</v>
      </c>
      <c r="B28" s="211" t="s">
        <v>1241</v>
      </c>
      <c r="C28" s="115" t="s">
        <v>230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ref="I28:I37" si="3">SUM(G28+H28)</f>
        <v>0</v>
      </c>
    </row>
    <row r="29" spans="1:9" x14ac:dyDescent="0.15">
      <c r="A29" s="1" t="s">
        <v>424</v>
      </c>
      <c r="B29" s="211" t="s">
        <v>1242</v>
      </c>
      <c r="C29" s="115" t="s">
        <v>231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3"/>
        <v>0</v>
      </c>
    </row>
    <row r="30" spans="1:9" x14ac:dyDescent="0.15">
      <c r="A30" s="1" t="s">
        <v>425</v>
      </c>
      <c r="B30" s="211" t="s">
        <v>1247</v>
      </c>
      <c r="C30" s="1" t="s">
        <v>1246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3"/>
        <v>0</v>
      </c>
    </row>
    <row r="31" spans="1:9" x14ac:dyDescent="0.15">
      <c r="A31" s="1" t="s">
        <v>426</v>
      </c>
      <c r="B31" s="211" t="s">
        <v>1248</v>
      </c>
      <c r="C31" s="1" t="s">
        <v>119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3"/>
        <v>0</v>
      </c>
    </row>
    <row r="32" spans="1:9" x14ac:dyDescent="0.15">
      <c r="A32" s="1" t="s">
        <v>427</v>
      </c>
      <c r="B32" s="211" t="s">
        <v>1249</v>
      </c>
      <c r="C32" s="1" t="s">
        <v>124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 t="shared" si="3"/>
        <v>0</v>
      </c>
    </row>
    <row r="33" spans="1:9" x14ac:dyDescent="0.15">
      <c r="A33" s="1" t="s">
        <v>428</v>
      </c>
      <c r="B33" s="211" t="s">
        <v>1250</v>
      </c>
      <c r="C33" s="1" t="s">
        <v>156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564">
        <f t="shared" si="3"/>
        <v>0</v>
      </c>
    </row>
    <row r="34" spans="1:9" x14ac:dyDescent="0.15">
      <c r="A34" s="108" t="s">
        <v>81</v>
      </c>
      <c r="B34" s="211" t="s">
        <v>1251</v>
      </c>
      <c r="C34" s="1" t="s">
        <v>82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564">
        <f t="shared" si="3"/>
        <v>0</v>
      </c>
    </row>
    <row r="35" spans="1:9" x14ac:dyDescent="0.15">
      <c r="A35" s="1" t="s">
        <v>631</v>
      </c>
      <c r="B35" s="211" t="s">
        <v>1252</v>
      </c>
      <c r="C35" s="1" t="s">
        <v>173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564">
        <f t="shared" si="3"/>
        <v>0</v>
      </c>
    </row>
    <row r="36" spans="1:9" x14ac:dyDescent="0.15">
      <c r="A36" s="152"/>
      <c r="B36" s="152"/>
      <c r="C36" s="665" t="s">
        <v>52</v>
      </c>
      <c r="D36" s="529">
        <f t="shared" ref="D36:I36" si="4">+D24</f>
        <v>0</v>
      </c>
      <c r="E36" s="529">
        <f t="shared" si="4"/>
        <v>0</v>
      </c>
      <c r="F36" s="529">
        <f t="shared" si="4"/>
        <v>0</v>
      </c>
      <c r="G36" s="529">
        <f t="shared" si="4"/>
        <v>0</v>
      </c>
      <c r="H36" s="529">
        <f t="shared" si="4"/>
        <v>0</v>
      </c>
      <c r="I36" s="529">
        <f t="shared" si="4"/>
        <v>0</v>
      </c>
    </row>
    <row r="37" spans="1:9" x14ac:dyDescent="0.15">
      <c r="A37" s="1" t="s">
        <v>1259</v>
      </c>
      <c r="B37" s="211" t="s">
        <v>1253</v>
      </c>
      <c r="C37" s="1" t="s">
        <v>1510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3"/>
        <v>0</v>
      </c>
    </row>
    <row r="38" spans="1:9" ht="11.25" thickBot="1" x14ac:dyDescent="0.2">
      <c r="D38" s="5"/>
      <c r="E38" s="5"/>
      <c r="F38" s="5"/>
      <c r="G38" s="5"/>
      <c r="I38" s="6"/>
    </row>
    <row r="39" spans="1:9" ht="12" thickTop="1" thickBot="1" x14ac:dyDescent="0.2">
      <c r="A39" s="1"/>
      <c r="B39" s="211" t="s">
        <v>1254</v>
      </c>
      <c r="C39" s="35" t="s">
        <v>80</v>
      </c>
      <c r="D39" s="42">
        <f t="shared" ref="D39:I39" si="5">SUM(D28:D37)</f>
        <v>0</v>
      </c>
      <c r="E39" s="42">
        <f t="shared" si="5"/>
        <v>0</v>
      </c>
      <c r="F39" s="42">
        <f t="shared" si="5"/>
        <v>0</v>
      </c>
      <c r="G39" s="42">
        <f t="shared" si="5"/>
        <v>0</v>
      </c>
      <c r="H39" s="42">
        <f t="shared" si="5"/>
        <v>0</v>
      </c>
      <c r="I39" s="42">
        <f t="shared" si="5"/>
        <v>0</v>
      </c>
    </row>
    <row r="40" spans="1:9" ht="11.25" thickTop="1" x14ac:dyDescent="0.15">
      <c r="I40" s="6"/>
    </row>
    <row r="41" spans="1:9" x14ac:dyDescent="0.15">
      <c r="A41" s="155" t="s">
        <v>110</v>
      </c>
      <c r="C41" s="210" t="s">
        <v>737</v>
      </c>
      <c r="D41" s="159"/>
      <c r="E41" s="159"/>
      <c r="F41" s="159"/>
      <c r="G41" s="159"/>
      <c r="I41" s="6"/>
    </row>
    <row r="42" spans="1:9" x14ac:dyDescent="0.15">
      <c r="A42" s="558" t="s">
        <v>1522</v>
      </c>
      <c r="B42" s="511" t="s">
        <v>1255</v>
      </c>
      <c r="C42" s="138" t="s">
        <v>1516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>SUM(G42+H42)</f>
        <v>0</v>
      </c>
    </row>
    <row r="43" spans="1:9" x14ac:dyDescent="0.15">
      <c r="A43" s="725" t="s">
        <v>1681</v>
      </c>
      <c r="B43" s="511" t="s">
        <v>1260</v>
      </c>
      <c r="C43" s="138" t="s">
        <v>1517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>SUM(G43+H43)</f>
        <v>0</v>
      </c>
    </row>
    <row r="44" spans="1:9" x14ac:dyDescent="0.15">
      <c r="A44" s="725" t="s">
        <v>1680</v>
      </c>
      <c r="B44" s="511" t="s">
        <v>1261</v>
      </c>
      <c r="C44" s="138" t="s">
        <v>1518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564">
        <f>SUM(G44+H44)</f>
        <v>0</v>
      </c>
    </row>
    <row r="45" spans="1:9" ht="11.25" customHeight="1" x14ac:dyDescent="0.15">
      <c r="A45" s="725" t="s">
        <v>1675</v>
      </c>
      <c r="B45" s="511" t="s">
        <v>1262</v>
      </c>
      <c r="C45" s="692" t="s">
        <v>1676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564">
        <f>SUM(G45+H45)</f>
        <v>0</v>
      </c>
    </row>
    <row r="46" spans="1:9" ht="11.25" thickBot="1" x14ac:dyDescent="0.2">
      <c r="A46" s="558" t="s">
        <v>1526</v>
      </c>
      <c r="B46" s="511" t="s">
        <v>1263</v>
      </c>
      <c r="C46" s="138" t="s">
        <v>1520</v>
      </c>
      <c r="D46" s="150">
        <v>0</v>
      </c>
      <c r="E46" s="150">
        <v>0</v>
      </c>
      <c r="F46" s="150">
        <v>0</v>
      </c>
      <c r="G46" s="150">
        <v>0</v>
      </c>
      <c r="H46" s="41">
        <v>0</v>
      </c>
      <c r="I46" s="564">
        <f>SUM(G46+H46)</f>
        <v>0</v>
      </c>
    </row>
    <row r="47" spans="1:9" ht="12" thickTop="1" thickBot="1" x14ac:dyDescent="0.2">
      <c r="A47" s="149"/>
      <c r="B47" s="160" t="s">
        <v>1265</v>
      </c>
      <c r="C47" s="115" t="s">
        <v>724</v>
      </c>
      <c r="D47" s="151">
        <f t="shared" ref="D47:I47" si="6">SUM(D42:D46)</f>
        <v>0</v>
      </c>
      <c r="E47" s="151">
        <f t="shared" si="6"/>
        <v>0</v>
      </c>
      <c r="F47" s="151">
        <f t="shared" si="6"/>
        <v>0</v>
      </c>
      <c r="G47" s="151">
        <f t="shared" si="6"/>
        <v>0</v>
      </c>
      <c r="H47" s="151">
        <f t="shared" si="6"/>
        <v>0</v>
      </c>
      <c r="I47" s="169">
        <f t="shared" si="6"/>
        <v>0</v>
      </c>
    </row>
    <row r="48" spans="1:9" ht="12" thickTop="1" thickBot="1" x14ac:dyDescent="0.2">
      <c r="A48" s="149"/>
      <c r="B48" s="158"/>
      <c r="C48" s="115"/>
      <c r="D48" s="159"/>
      <c r="E48" s="159"/>
      <c r="F48" s="159"/>
      <c r="G48" s="159"/>
      <c r="I48" s="6"/>
    </row>
    <row r="49" spans="1:9" ht="11.25" thickBot="1" x14ac:dyDescent="0.2">
      <c r="A49" s="776" t="s">
        <v>1179</v>
      </c>
      <c r="B49" s="776"/>
      <c r="C49" s="777"/>
      <c r="D49" s="212">
        <f t="shared" ref="D49:I49" si="7">D39+D47</f>
        <v>0</v>
      </c>
      <c r="E49" s="212">
        <f t="shared" si="7"/>
        <v>0</v>
      </c>
      <c r="F49" s="212">
        <f t="shared" si="7"/>
        <v>0</v>
      </c>
      <c r="G49" s="212">
        <f t="shared" si="7"/>
        <v>0</v>
      </c>
      <c r="H49" s="212">
        <f t="shared" si="7"/>
        <v>0</v>
      </c>
      <c r="I49" s="212">
        <f t="shared" si="7"/>
        <v>0</v>
      </c>
    </row>
    <row r="50" spans="1:9" x14ac:dyDescent="0.15">
      <c r="A50" s="149"/>
      <c r="B50" s="158"/>
      <c r="C50" s="115" t="s">
        <v>725</v>
      </c>
      <c r="D50" s="159"/>
      <c r="E50" s="159"/>
      <c r="F50" s="159"/>
      <c r="G50" s="159"/>
      <c r="I50" s="6"/>
    </row>
    <row r="51" spans="1:9" ht="11.25" thickBot="1" x14ac:dyDescent="0.2">
      <c r="A51" s="149"/>
      <c r="B51" s="158"/>
      <c r="C51" s="115"/>
      <c r="D51" s="159"/>
      <c r="E51" s="159"/>
      <c r="F51" s="159"/>
      <c r="G51" s="159"/>
      <c r="I51" s="6"/>
    </row>
    <row r="52" spans="1:9" ht="12" thickTop="1" thickBot="1" x14ac:dyDescent="0.2">
      <c r="A52" s="158"/>
      <c r="B52" s="158"/>
      <c r="C52" s="172" t="s">
        <v>726</v>
      </c>
      <c r="D52" s="173">
        <f t="shared" ref="D52:I52" si="8">D21</f>
        <v>0</v>
      </c>
      <c r="E52" s="173">
        <f t="shared" si="8"/>
        <v>0</v>
      </c>
      <c r="F52" s="173">
        <f t="shared" si="8"/>
        <v>0</v>
      </c>
      <c r="G52" s="173">
        <f t="shared" si="8"/>
        <v>0</v>
      </c>
      <c r="H52" s="173">
        <f t="shared" si="8"/>
        <v>0</v>
      </c>
      <c r="I52" s="173">
        <f t="shared" si="8"/>
        <v>0</v>
      </c>
    </row>
    <row r="53" spans="1:9" ht="11.25" thickTop="1" x14ac:dyDescent="0.15">
      <c r="A53" s="158"/>
      <c r="B53" s="158"/>
      <c r="C53" s="158"/>
      <c r="D53" s="158"/>
      <c r="E53" s="158"/>
      <c r="F53" s="158"/>
      <c r="G53" s="158"/>
      <c r="I53" s="6"/>
    </row>
    <row r="54" spans="1:9" x14ac:dyDescent="0.15">
      <c r="A54" s="158"/>
      <c r="B54" s="158"/>
      <c r="C54" s="172" t="s">
        <v>727</v>
      </c>
      <c r="D54" s="158">
        <f t="shared" ref="D54:I54" si="9">D49-D52</f>
        <v>0</v>
      </c>
      <c r="E54" s="158">
        <f t="shared" si="9"/>
        <v>0</v>
      </c>
      <c r="F54" s="158">
        <f t="shared" si="9"/>
        <v>0</v>
      </c>
      <c r="G54" s="158">
        <f t="shared" si="9"/>
        <v>0</v>
      </c>
      <c r="H54" s="158">
        <f t="shared" si="9"/>
        <v>0</v>
      </c>
      <c r="I54" s="167">
        <f t="shared" si="9"/>
        <v>0</v>
      </c>
    </row>
    <row r="55" spans="1:9" x14ac:dyDescent="0.15">
      <c r="I55" s="6"/>
    </row>
  </sheetData>
  <sheetProtection formatCells="0" formatColumns="0" formatRows="0"/>
  <mergeCells count="1">
    <mergeCell ref="A49:C49"/>
  </mergeCells>
  <phoneticPr fontId="15" type="noConversion"/>
  <pageMargins left="0.5" right="0.5" top="0.75" bottom="0.75" header="0.5" footer="0.5"/>
  <pageSetup scale="63" firstPageNumber="45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28" workbookViewId="0">
      <selection activeCell="D4" sqref="D4"/>
    </sheetView>
  </sheetViews>
  <sheetFormatPr defaultColWidth="12" defaultRowHeight="10.5" x14ac:dyDescent="0.15"/>
  <cols>
    <col min="1" max="1" width="10.83203125" customWidth="1"/>
    <col min="2" max="2" width="5" customWidth="1"/>
    <col min="3" max="3" width="70.83203125" customWidth="1"/>
    <col min="4" max="4" width="15.83203125" customWidth="1"/>
    <col min="5" max="5" width="17.6640625" customWidth="1"/>
    <col min="6" max="6" width="18.83203125" customWidth="1"/>
    <col min="7" max="7" width="15.83203125" customWidth="1"/>
    <col min="8" max="8" width="16.83203125" customWidth="1"/>
    <col min="9" max="9" width="15" customWidth="1"/>
  </cols>
  <sheetData>
    <row r="1" spans="1:9" x14ac:dyDescent="0.15">
      <c r="A1" t="s">
        <v>106</v>
      </c>
      <c r="C1" s="10">
        <f>+'Page 1 - FY2014-15'!B5</f>
        <v>0</v>
      </c>
      <c r="D1" t="s">
        <v>1586</v>
      </c>
      <c r="E1" s="106">
        <f>+'Page 1 - FY2014-15'!F7</f>
        <v>0</v>
      </c>
      <c r="F1" s="12"/>
      <c r="G1" s="38" t="s">
        <v>1588</v>
      </c>
    </row>
    <row r="2" spans="1:9" x14ac:dyDescent="0.15">
      <c r="A2" s="15" t="s">
        <v>741</v>
      </c>
    </row>
    <row r="3" spans="1:9" ht="31.5" x14ac:dyDescent="0.15">
      <c r="A3" s="158"/>
      <c r="B3" s="158"/>
      <c r="C3" s="158"/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A4" s="158"/>
      <c r="B4" s="158"/>
      <c r="C4" s="158"/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A5" s="158"/>
      <c r="B5" s="158"/>
      <c r="C5" s="158"/>
      <c r="D5" s="166"/>
      <c r="E5" s="166"/>
      <c r="F5" s="166"/>
      <c r="G5" s="166"/>
      <c r="I5" s="6"/>
    </row>
    <row r="6" spans="1:9" ht="11.25" thickBot="1" x14ac:dyDescent="0.2">
      <c r="A6" s="35" t="s">
        <v>195</v>
      </c>
      <c r="C6" s="35" t="s">
        <v>742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SUM(G6+H6)</f>
        <v>0</v>
      </c>
    </row>
    <row r="7" spans="1:9" x14ac:dyDescent="0.15">
      <c r="A7" s="36" t="s">
        <v>1592</v>
      </c>
      <c r="C7" s="210" t="s">
        <v>196</v>
      </c>
      <c r="D7" s="5"/>
      <c r="E7" s="5"/>
      <c r="F7" s="5"/>
      <c r="I7" s="6"/>
    </row>
    <row r="8" spans="1:9" x14ac:dyDescent="0.15">
      <c r="A8" s="1" t="s">
        <v>1602</v>
      </c>
      <c r="B8" s="211" t="s">
        <v>1159</v>
      </c>
      <c r="C8" s="1" t="s">
        <v>443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564">
        <f>SUM(G8+H8)</f>
        <v>0</v>
      </c>
    </row>
    <row r="9" spans="1:9" x14ac:dyDescent="0.15">
      <c r="A9" s="108" t="s">
        <v>113</v>
      </c>
      <c r="B9" s="211" t="s">
        <v>1160</v>
      </c>
      <c r="C9" s="1" t="s">
        <v>721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>SUM(G9+H9)</f>
        <v>0</v>
      </c>
    </row>
    <row r="10" spans="1:9" x14ac:dyDescent="0.15">
      <c r="A10" s="108" t="s">
        <v>532</v>
      </c>
      <c r="B10" s="211" t="s">
        <v>1161</v>
      </c>
      <c r="C10" s="1" t="s">
        <v>533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>SUM(G10+H10)</f>
        <v>0</v>
      </c>
    </row>
    <row r="11" spans="1:9" x14ac:dyDescent="0.15">
      <c r="A11" s="1" t="s">
        <v>105</v>
      </c>
      <c r="B11" s="211" t="s">
        <v>1228</v>
      </c>
      <c r="C11" s="2" t="s">
        <v>854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>SUM(G11+H11)</f>
        <v>0</v>
      </c>
    </row>
    <row r="12" spans="1:9" x14ac:dyDescent="0.15">
      <c r="A12" s="1"/>
      <c r="B12" s="211" t="s">
        <v>1229</v>
      </c>
      <c r="C12" s="1" t="s">
        <v>216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564">
        <f>SUM(G12+H12)</f>
        <v>0</v>
      </c>
    </row>
    <row r="13" spans="1:9" ht="11.25" thickBot="1" x14ac:dyDescent="0.2">
      <c r="B13" s="211"/>
      <c r="C13" s="1"/>
      <c r="D13" s="14"/>
      <c r="E13" s="5"/>
      <c r="F13" s="5"/>
      <c r="I13" s="6"/>
    </row>
    <row r="14" spans="1:9" ht="12" thickTop="1" thickBot="1" x14ac:dyDescent="0.2">
      <c r="B14" s="211" t="s">
        <v>1230</v>
      </c>
      <c r="C14" s="35" t="s">
        <v>1191</v>
      </c>
      <c r="D14" s="42">
        <f t="shared" ref="D14:I14" si="0">SUM(D8:D13)</f>
        <v>0</v>
      </c>
      <c r="E14" s="42">
        <f t="shared" si="0"/>
        <v>0</v>
      </c>
      <c r="F14" s="42">
        <f t="shared" si="0"/>
        <v>0</v>
      </c>
      <c r="G14" s="42">
        <f t="shared" si="0"/>
        <v>0</v>
      </c>
      <c r="H14" s="42">
        <f t="shared" si="0"/>
        <v>0</v>
      </c>
      <c r="I14" s="42">
        <f t="shared" si="0"/>
        <v>0</v>
      </c>
    </row>
    <row r="15" spans="1:9" ht="12" thickTop="1" thickBot="1" x14ac:dyDescent="0.2">
      <c r="C15" s="1"/>
      <c r="D15" s="5"/>
      <c r="E15" s="13"/>
      <c r="F15" s="5"/>
      <c r="I15" s="6"/>
    </row>
    <row r="16" spans="1:9" ht="11.25" thickBot="1" x14ac:dyDescent="0.2">
      <c r="B16" s="35" t="s">
        <v>1192</v>
      </c>
      <c r="D16" s="44">
        <f t="shared" ref="D16:I16" si="1">D6+D14</f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  <c r="H16" s="44">
        <f t="shared" si="1"/>
        <v>0</v>
      </c>
      <c r="I16" s="44">
        <f t="shared" si="1"/>
        <v>0</v>
      </c>
    </row>
    <row r="17" spans="1:9" x14ac:dyDescent="0.15">
      <c r="D17" s="5"/>
      <c r="E17" s="5"/>
      <c r="F17" s="5"/>
      <c r="I17" s="6"/>
    </row>
    <row r="18" spans="1:9" x14ac:dyDescent="0.15">
      <c r="A18" s="660" t="s">
        <v>824</v>
      </c>
      <c r="B18" s="424"/>
      <c r="C18" s="495" t="s">
        <v>816</v>
      </c>
      <c r="D18" s="423"/>
      <c r="E18" s="423"/>
      <c r="F18" s="423"/>
      <c r="G18" s="423"/>
      <c r="H18" s="423"/>
      <c r="I18" s="179"/>
    </row>
    <row r="19" spans="1:9" s="158" customFormat="1" x14ac:dyDescent="0.15">
      <c r="A19" s="436" t="s">
        <v>105</v>
      </c>
      <c r="B19" s="501" t="s">
        <v>27</v>
      </c>
      <c r="C19" s="2" t="s">
        <v>827</v>
      </c>
      <c r="D19" s="41">
        <v>0</v>
      </c>
      <c r="E19" s="41">
        <v>0</v>
      </c>
      <c r="F19" s="41">
        <v>0</v>
      </c>
      <c r="G19" s="41">
        <v>0</v>
      </c>
      <c r="H19" s="534">
        <v>0</v>
      </c>
      <c r="I19" s="535">
        <f>SUM(G19+H19)</f>
        <v>0</v>
      </c>
    </row>
    <row r="20" spans="1:9" s="158" customFormat="1" x14ac:dyDescent="0.15">
      <c r="A20" s="436"/>
      <c r="B20" s="501"/>
      <c r="C20" s="2"/>
      <c r="D20" s="14"/>
      <c r="E20" s="14"/>
      <c r="F20" s="14"/>
      <c r="G20" s="14"/>
      <c r="H20" s="308"/>
      <c r="I20" s="305"/>
    </row>
    <row r="21" spans="1:9" s="158" customFormat="1" x14ac:dyDescent="0.15">
      <c r="A21"/>
      <c r="B21"/>
      <c r="C21"/>
      <c r="D21" s="5"/>
      <c r="E21" s="5"/>
      <c r="F21" s="5"/>
      <c r="G21"/>
      <c r="H21"/>
      <c r="I21" s="6"/>
    </row>
    <row r="22" spans="1:9" s="158" customFormat="1" x14ac:dyDescent="0.15">
      <c r="A22" s="36" t="s">
        <v>198</v>
      </c>
      <c r="C22" s="210" t="s">
        <v>199</v>
      </c>
      <c r="D22" s="159"/>
      <c r="E22" s="159"/>
      <c r="F22" s="159"/>
      <c r="I22" s="167"/>
    </row>
    <row r="23" spans="1:9" s="158" customFormat="1" x14ac:dyDescent="0.15">
      <c r="A23" s="36"/>
      <c r="C23" s="158" t="s">
        <v>1190</v>
      </c>
      <c r="D23" s="159"/>
      <c r="E23" s="159"/>
      <c r="F23" s="159"/>
      <c r="I23" s="167"/>
    </row>
    <row r="24" spans="1:9" s="158" customFormat="1" x14ac:dyDescent="0.15">
      <c r="A24" s="115" t="s">
        <v>423</v>
      </c>
      <c r="B24" s="160" t="s">
        <v>1231</v>
      </c>
      <c r="C24" s="115" t="s">
        <v>230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564">
        <f t="shared" ref="I24:I32" si="2">SUM(G24+H24)</f>
        <v>0</v>
      </c>
    </row>
    <row r="25" spans="1:9" s="158" customFormat="1" x14ac:dyDescent="0.15">
      <c r="A25" s="115" t="s">
        <v>424</v>
      </c>
      <c r="B25" s="174" t="s">
        <v>1232</v>
      </c>
      <c r="C25" s="115" t="s">
        <v>231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564">
        <f t="shared" si="2"/>
        <v>0</v>
      </c>
    </row>
    <row r="26" spans="1:9" s="158" customFormat="1" x14ac:dyDescent="0.15">
      <c r="A26" s="115" t="s">
        <v>425</v>
      </c>
      <c r="B26" s="174" t="s">
        <v>1240</v>
      </c>
      <c r="C26" s="115" t="s">
        <v>1246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si="2"/>
        <v>0</v>
      </c>
    </row>
    <row r="27" spans="1:9" s="158" customFormat="1" x14ac:dyDescent="0.15">
      <c r="A27" s="115" t="s">
        <v>426</v>
      </c>
      <c r="B27" s="174" t="s">
        <v>1244</v>
      </c>
      <c r="C27" s="115" t="s">
        <v>119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2"/>
        <v>0</v>
      </c>
    </row>
    <row r="28" spans="1:9" s="158" customFormat="1" x14ac:dyDescent="0.15">
      <c r="A28" s="115" t="s">
        <v>427</v>
      </c>
      <c r="B28" s="174" t="s">
        <v>1245</v>
      </c>
      <c r="C28" s="115" t="s">
        <v>124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2"/>
        <v>0</v>
      </c>
    </row>
    <row r="29" spans="1:9" s="158" customFormat="1" x14ac:dyDescent="0.15">
      <c r="A29" s="115" t="s">
        <v>428</v>
      </c>
      <c r="B29" s="174" t="s">
        <v>1241</v>
      </c>
      <c r="C29" s="115" t="s">
        <v>156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2"/>
        <v>0</v>
      </c>
    </row>
    <row r="30" spans="1:9" s="158" customFormat="1" x14ac:dyDescent="0.15">
      <c r="A30" s="108" t="s">
        <v>81</v>
      </c>
      <c r="B30" s="174" t="s">
        <v>1242</v>
      </c>
      <c r="C30" s="1" t="s">
        <v>82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2"/>
        <v>0</v>
      </c>
    </row>
    <row r="31" spans="1:9" s="158" customFormat="1" x14ac:dyDescent="0.15">
      <c r="A31" s="108" t="s">
        <v>631</v>
      </c>
      <c r="B31" s="174" t="s">
        <v>1247</v>
      </c>
      <c r="C31" s="1" t="s">
        <v>173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2"/>
        <v>0</v>
      </c>
    </row>
    <row r="32" spans="1:9" s="158" customFormat="1" x14ac:dyDescent="0.15">
      <c r="A32" s="115" t="s">
        <v>429</v>
      </c>
      <c r="B32" s="174" t="s">
        <v>1248</v>
      </c>
      <c r="C32" s="115" t="s">
        <v>1572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564">
        <f t="shared" si="2"/>
        <v>0</v>
      </c>
    </row>
    <row r="33" spans="1:9" s="158" customFormat="1" ht="11.25" thickBot="1" x14ac:dyDescent="0.2">
      <c r="A33" s="115"/>
      <c r="C33" s="115"/>
      <c r="D33" s="14"/>
      <c r="E33" s="159"/>
      <c r="F33" s="159"/>
      <c r="I33" s="167"/>
    </row>
    <row r="34" spans="1:9" s="158" customFormat="1" ht="12" thickTop="1" thickBot="1" x14ac:dyDescent="0.2">
      <c r="B34" s="174" t="s">
        <v>1249</v>
      </c>
      <c r="C34" s="115" t="s">
        <v>1193</v>
      </c>
      <c r="D34" s="169">
        <f t="shared" ref="D34:I34" si="3">SUM(D24:D32)</f>
        <v>0</v>
      </c>
      <c r="E34" s="169">
        <f t="shared" si="3"/>
        <v>0</v>
      </c>
      <c r="F34" s="169">
        <f t="shared" si="3"/>
        <v>0</v>
      </c>
      <c r="G34" s="169">
        <f t="shared" si="3"/>
        <v>0</v>
      </c>
      <c r="H34" s="169">
        <f t="shared" si="3"/>
        <v>0</v>
      </c>
      <c r="I34" s="169">
        <f t="shared" si="3"/>
        <v>0</v>
      </c>
    </row>
    <row r="35" spans="1:9" s="158" customFormat="1" ht="11.25" thickTop="1" x14ac:dyDescent="0.15">
      <c r="A35" s="36"/>
      <c r="C35" s="40"/>
      <c r="D35" s="159"/>
      <c r="E35" s="159"/>
      <c r="F35" s="159"/>
      <c r="I35" s="167"/>
    </row>
    <row r="36" spans="1:9" s="158" customFormat="1" x14ac:dyDescent="0.15">
      <c r="A36" s="36"/>
      <c r="C36" s="172" t="s">
        <v>217</v>
      </c>
      <c r="D36" s="159"/>
      <c r="E36" s="159"/>
      <c r="F36" s="159"/>
      <c r="I36" s="167"/>
    </row>
    <row r="37" spans="1:9" s="158" customFormat="1" x14ac:dyDescent="0.15">
      <c r="A37" s="115" t="s">
        <v>423</v>
      </c>
      <c r="B37" s="160" t="s">
        <v>1250</v>
      </c>
      <c r="C37" s="115" t="s">
        <v>230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ref="I37:I46" si="4">SUM(G37+H37)</f>
        <v>0</v>
      </c>
    </row>
    <row r="38" spans="1:9" s="158" customFormat="1" x14ac:dyDescent="0.15">
      <c r="A38" s="115" t="s">
        <v>424</v>
      </c>
      <c r="B38" s="174" t="s">
        <v>1251</v>
      </c>
      <c r="C38" s="115" t="s">
        <v>231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4"/>
        <v>0</v>
      </c>
    </row>
    <row r="39" spans="1:9" s="158" customFormat="1" x14ac:dyDescent="0.15">
      <c r="A39" s="115" t="s">
        <v>425</v>
      </c>
      <c r="B39" s="174" t="s">
        <v>1252</v>
      </c>
      <c r="C39" s="115" t="s">
        <v>1246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4"/>
        <v>0</v>
      </c>
    </row>
    <row r="40" spans="1:9" s="158" customFormat="1" x14ac:dyDescent="0.15">
      <c r="A40" s="115" t="s">
        <v>426</v>
      </c>
      <c r="B40" s="174" t="s">
        <v>1253</v>
      </c>
      <c r="C40" s="115" t="s">
        <v>119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 t="shared" si="4"/>
        <v>0</v>
      </c>
    </row>
    <row r="41" spans="1:9" s="158" customFormat="1" x14ac:dyDescent="0.15">
      <c r="A41" s="115" t="s">
        <v>427</v>
      </c>
      <c r="B41" s="174" t="s">
        <v>1254</v>
      </c>
      <c r="C41" s="115" t="s">
        <v>124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4"/>
        <v>0</v>
      </c>
    </row>
    <row r="42" spans="1:9" s="158" customFormat="1" x14ac:dyDescent="0.15">
      <c r="A42" s="115" t="s">
        <v>428</v>
      </c>
      <c r="B42" s="174" t="s">
        <v>1255</v>
      </c>
      <c r="C42" s="115" t="s">
        <v>156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 t="shared" si="4"/>
        <v>0</v>
      </c>
    </row>
    <row r="43" spans="1:9" s="158" customFormat="1" x14ac:dyDescent="0.15">
      <c r="A43" s="108" t="s">
        <v>81</v>
      </c>
      <c r="B43" s="174" t="s">
        <v>1260</v>
      </c>
      <c r="C43" s="1" t="s">
        <v>82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 t="shared" si="4"/>
        <v>0</v>
      </c>
    </row>
    <row r="44" spans="1:9" s="158" customFormat="1" x14ac:dyDescent="0.15">
      <c r="A44" s="108" t="s">
        <v>631</v>
      </c>
      <c r="B44" s="174" t="s">
        <v>1261</v>
      </c>
      <c r="C44" s="1" t="s">
        <v>173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564">
        <f t="shared" si="4"/>
        <v>0</v>
      </c>
    </row>
    <row r="45" spans="1:9" x14ac:dyDescent="0.15">
      <c r="A45" s="152"/>
      <c r="B45" s="152"/>
      <c r="C45" s="665" t="s">
        <v>28</v>
      </c>
      <c r="D45" s="529">
        <f t="shared" ref="D45:I45" si="5">+D19</f>
        <v>0</v>
      </c>
      <c r="E45" s="529">
        <f t="shared" si="5"/>
        <v>0</v>
      </c>
      <c r="F45" s="529">
        <f t="shared" si="5"/>
        <v>0</v>
      </c>
      <c r="G45" s="529">
        <f t="shared" si="5"/>
        <v>0</v>
      </c>
      <c r="H45" s="529">
        <f t="shared" si="5"/>
        <v>0</v>
      </c>
      <c r="I45" s="529">
        <f t="shared" si="5"/>
        <v>0</v>
      </c>
    </row>
    <row r="46" spans="1:9" s="158" customFormat="1" x14ac:dyDescent="0.15">
      <c r="A46" s="115" t="s">
        <v>429</v>
      </c>
      <c r="B46" s="174" t="s">
        <v>1262</v>
      </c>
      <c r="C46" s="115" t="s">
        <v>1572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564">
        <f t="shared" si="4"/>
        <v>0</v>
      </c>
    </row>
    <row r="47" spans="1:9" ht="11.25" thickBot="1" x14ac:dyDescent="0.2">
      <c r="A47" s="115"/>
      <c r="B47" s="158"/>
      <c r="C47" s="115"/>
      <c r="D47" s="14"/>
      <c r="E47" s="159"/>
      <c r="F47" s="159"/>
      <c r="G47" s="158"/>
      <c r="H47" s="158"/>
      <c r="I47" s="167"/>
    </row>
    <row r="48" spans="1:9" ht="12" thickTop="1" thickBot="1" x14ac:dyDescent="0.2">
      <c r="A48" s="158"/>
      <c r="B48" s="174" t="s">
        <v>1263</v>
      </c>
      <c r="C48" s="172" t="s">
        <v>1194</v>
      </c>
      <c r="D48" s="169">
        <f t="shared" ref="D48:I48" si="6">SUM(D37:D46)</f>
        <v>0</v>
      </c>
      <c r="E48" s="169">
        <f t="shared" si="6"/>
        <v>0</v>
      </c>
      <c r="F48" s="169">
        <f t="shared" si="6"/>
        <v>0</v>
      </c>
      <c r="G48" s="169">
        <f t="shared" si="6"/>
        <v>0</v>
      </c>
      <c r="H48" s="169">
        <f t="shared" si="6"/>
        <v>0</v>
      </c>
      <c r="I48" s="169">
        <f t="shared" si="6"/>
        <v>0</v>
      </c>
    </row>
    <row r="49" spans="1:9" ht="12" thickTop="1" thickBot="1" x14ac:dyDescent="0.2">
      <c r="D49" s="5"/>
      <c r="E49" s="5"/>
      <c r="F49" s="5"/>
      <c r="I49" s="6"/>
    </row>
    <row r="50" spans="1:9" ht="12" thickTop="1" thickBot="1" x14ac:dyDescent="0.2">
      <c r="A50" s="158"/>
      <c r="B50" s="174" t="s">
        <v>1265</v>
      </c>
      <c r="C50" s="35" t="s">
        <v>1195</v>
      </c>
      <c r="D50" s="169">
        <f t="shared" ref="D50:I50" si="7">D34+D48</f>
        <v>0</v>
      </c>
      <c r="E50" s="169">
        <f t="shared" si="7"/>
        <v>0</v>
      </c>
      <c r="F50" s="169">
        <f t="shared" si="7"/>
        <v>0</v>
      </c>
      <c r="G50" s="169">
        <f t="shared" si="7"/>
        <v>0</v>
      </c>
      <c r="H50" s="169">
        <f t="shared" si="7"/>
        <v>0</v>
      </c>
      <c r="I50" s="169">
        <f t="shared" si="7"/>
        <v>0</v>
      </c>
    </row>
    <row r="51" spans="1:9" ht="11.25" thickTop="1" x14ac:dyDescent="0.15">
      <c r="D51" s="5"/>
      <c r="E51" s="5"/>
      <c r="F51" s="5"/>
      <c r="I51" s="6"/>
    </row>
    <row r="52" spans="1:9" x14ac:dyDescent="0.15">
      <c r="A52" s="155" t="s">
        <v>110</v>
      </c>
      <c r="C52" s="210" t="s">
        <v>737</v>
      </c>
      <c r="D52" s="159"/>
      <c r="E52" s="159"/>
      <c r="F52" s="159"/>
      <c r="G52" s="159"/>
      <c r="I52" s="6"/>
    </row>
    <row r="53" spans="1:9" x14ac:dyDescent="0.15">
      <c r="A53" s="558" t="s">
        <v>1522</v>
      </c>
      <c r="B53" s="726" t="s">
        <v>1266</v>
      </c>
      <c r="C53" s="138" t="s">
        <v>1516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64">
        <f>SUM(G53+H53)</f>
        <v>0</v>
      </c>
    </row>
    <row r="54" spans="1:9" x14ac:dyDescent="0.15">
      <c r="A54" s="725" t="s">
        <v>1680</v>
      </c>
      <c r="B54" s="726" t="s">
        <v>1267</v>
      </c>
      <c r="C54" s="138" t="s">
        <v>1518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564">
        <f>SUM(G54+H54)</f>
        <v>0</v>
      </c>
    </row>
    <row r="55" spans="1:9" ht="12" customHeight="1" x14ac:dyDescent="0.15">
      <c r="A55" s="725" t="s">
        <v>1675</v>
      </c>
      <c r="B55" s="726" t="s">
        <v>1268</v>
      </c>
      <c r="C55" s="692" t="s">
        <v>1676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564">
        <f>SUM(G55+H55)</f>
        <v>0</v>
      </c>
    </row>
    <row r="56" spans="1:9" ht="11.25" thickBot="1" x14ac:dyDescent="0.2">
      <c r="A56" s="558" t="s">
        <v>1526</v>
      </c>
      <c r="B56" s="726" t="s">
        <v>1269</v>
      </c>
      <c r="C56" s="138" t="s">
        <v>1520</v>
      </c>
      <c r="D56" s="150">
        <v>0</v>
      </c>
      <c r="E56" s="150">
        <v>0</v>
      </c>
      <c r="F56" s="150">
        <v>0</v>
      </c>
      <c r="G56" s="150">
        <v>0</v>
      </c>
      <c r="H56" s="41">
        <v>0</v>
      </c>
      <c r="I56" s="564">
        <f>SUM(G56+H56)</f>
        <v>0</v>
      </c>
    </row>
    <row r="57" spans="1:9" ht="12" thickTop="1" thickBot="1" x14ac:dyDescent="0.2">
      <c r="A57" s="149"/>
      <c r="B57" s="188" t="s">
        <v>1270</v>
      </c>
      <c r="C57" s="115" t="s">
        <v>724</v>
      </c>
      <c r="D57" s="151">
        <f t="shared" ref="D57:I57" si="8">SUM(D53:D56)</f>
        <v>0</v>
      </c>
      <c r="E57" s="151">
        <f t="shared" si="8"/>
        <v>0</v>
      </c>
      <c r="F57" s="151">
        <f t="shared" si="8"/>
        <v>0</v>
      </c>
      <c r="G57" s="151">
        <f t="shared" si="8"/>
        <v>0</v>
      </c>
      <c r="H57" s="151">
        <f t="shared" si="8"/>
        <v>0</v>
      </c>
      <c r="I57" s="169">
        <f t="shared" si="8"/>
        <v>0</v>
      </c>
    </row>
    <row r="58" spans="1:9" ht="12" thickTop="1" thickBot="1" x14ac:dyDescent="0.2">
      <c r="A58" s="149"/>
      <c r="B58" s="158"/>
      <c r="C58" s="115"/>
      <c r="D58" s="159"/>
      <c r="E58" s="159"/>
      <c r="F58" s="159"/>
      <c r="G58" s="159"/>
      <c r="I58" s="6"/>
    </row>
    <row r="59" spans="1:9" ht="11.25" thickBot="1" x14ac:dyDescent="0.2">
      <c r="A59" s="776" t="s">
        <v>1694</v>
      </c>
      <c r="B59" s="776"/>
      <c r="C59" s="783"/>
      <c r="D59" s="212">
        <f t="shared" ref="D59:I59" si="9">D50+D57</f>
        <v>0</v>
      </c>
      <c r="E59" s="212">
        <f t="shared" si="9"/>
        <v>0</v>
      </c>
      <c r="F59" s="212">
        <f t="shared" si="9"/>
        <v>0</v>
      </c>
      <c r="G59" s="212">
        <f t="shared" si="9"/>
        <v>0</v>
      </c>
      <c r="H59" s="212">
        <f t="shared" si="9"/>
        <v>0</v>
      </c>
      <c r="I59" s="212">
        <f t="shared" si="9"/>
        <v>0</v>
      </c>
    </row>
    <row r="60" spans="1:9" x14ac:dyDescent="0.15">
      <c r="A60" s="149"/>
      <c r="B60" s="158"/>
      <c r="C60" s="115" t="s">
        <v>725</v>
      </c>
      <c r="D60" s="159"/>
      <c r="E60" s="159"/>
      <c r="F60" s="159"/>
      <c r="G60" s="159"/>
      <c r="I60" s="6"/>
    </row>
    <row r="61" spans="1:9" ht="11.25" thickBot="1" x14ac:dyDescent="0.2">
      <c r="A61" s="149"/>
      <c r="B61" s="158"/>
      <c r="C61" s="115"/>
      <c r="D61" s="159"/>
      <c r="E61" s="159"/>
      <c r="F61" s="159"/>
      <c r="G61" s="159"/>
      <c r="I61" s="6"/>
    </row>
    <row r="62" spans="1:9" ht="11.25" thickBot="1" x14ac:dyDescent="0.2">
      <c r="A62" s="158"/>
      <c r="B62" s="158"/>
      <c r="C62" s="172" t="s">
        <v>726</v>
      </c>
      <c r="D62" s="212">
        <f t="shared" ref="D62:I62" si="10">D16</f>
        <v>0</v>
      </c>
      <c r="E62" s="212">
        <f t="shared" si="10"/>
        <v>0</v>
      </c>
      <c r="F62" s="212">
        <f t="shared" si="10"/>
        <v>0</v>
      </c>
      <c r="G62" s="212">
        <f t="shared" si="10"/>
        <v>0</v>
      </c>
      <c r="H62" s="212">
        <f t="shared" si="10"/>
        <v>0</v>
      </c>
      <c r="I62" s="212">
        <f t="shared" si="10"/>
        <v>0</v>
      </c>
    </row>
    <row r="63" spans="1:9" x14ac:dyDescent="0.15">
      <c r="A63" s="158"/>
      <c r="B63" s="158"/>
      <c r="C63" s="158"/>
      <c r="D63" s="158"/>
      <c r="E63" s="158"/>
      <c r="F63" s="158"/>
      <c r="G63" s="158"/>
      <c r="I63" s="6"/>
    </row>
    <row r="64" spans="1:9" x14ac:dyDescent="0.15">
      <c r="A64" s="158"/>
      <c r="B64" s="158"/>
      <c r="C64" s="172" t="s">
        <v>727</v>
      </c>
      <c r="D64" s="158">
        <f t="shared" ref="D64:I64" si="11">D59-D62</f>
        <v>0</v>
      </c>
      <c r="E64" s="158">
        <f t="shared" si="11"/>
        <v>0</v>
      </c>
      <c r="F64" s="158">
        <f t="shared" si="11"/>
        <v>0</v>
      </c>
      <c r="G64" s="158">
        <f t="shared" si="11"/>
        <v>0</v>
      </c>
      <c r="H64" s="158">
        <f t="shared" si="11"/>
        <v>0</v>
      </c>
      <c r="I64" s="167">
        <f t="shared" si="11"/>
        <v>0</v>
      </c>
    </row>
    <row r="65" spans="9:9" x14ac:dyDescent="0.15">
      <c r="I65" s="6"/>
    </row>
  </sheetData>
  <sheetProtection formatCells="0" formatColumns="0" formatRows="0"/>
  <mergeCells count="1">
    <mergeCell ref="A59:C59"/>
  </mergeCells>
  <phoneticPr fontId="15" type="noConversion"/>
  <pageMargins left="0.5" right="0.5" top="0.75" bottom="0.75" header="0.5" footer="0.5"/>
  <pageSetup scale="65" firstPageNumber="46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activeCell="B3" sqref="B3"/>
    </sheetView>
  </sheetViews>
  <sheetFormatPr defaultColWidth="12" defaultRowHeight="10.5" x14ac:dyDescent="0.15"/>
  <cols>
    <col min="1" max="1" width="10.33203125" customWidth="1"/>
    <col min="2" max="2" width="3.83203125" customWidth="1"/>
    <col min="3" max="3" width="70.83203125" customWidth="1"/>
    <col min="4" max="4" width="15.83203125" customWidth="1"/>
    <col min="5" max="5" width="17.33203125" customWidth="1"/>
    <col min="6" max="6" width="18.33203125" customWidth="1"/>
    <col min="7" max="7" width="15.83203125" customWidth="1"/>
    <col min="8" max="9" width="16.33203125" customWidth="1"/>
  </cols>
  <sheetData>
    <row r="1" spans="1:9" x14ac:dyDescent="0.15">
      <c r="A1" t="s">
        <v>106</v>
      </c>
      <c r="C1" s="10">
        <f>+'Page 1 - FY2014-15'!B5</f>
        <v>0</v>
      </c>
      <c r="D1" t="s">
        <v>1586</v>
      </c>
      <c r="E1" s="106">
        <f>+'Page 1 - FY2014-15'!F7</f>
        <v>0</v>
      </c>
      <c r="G1" s="38" t="s">
        <v>1588</v>
      </c>
    </row>
    <row r="2" spans="1:9" x14ac:dyDescent="0.15">
      <c r="A2" s="15" t="s">
        <v>919</v>
      </c>
      <c r="E2" s="38"/>
      <c r="F2" s="38"/>
    </row>
    <row r="3" spans="1:9" ht="42" x14ac:dyDescent="0.15">
      <c r="A3" s="15"/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A4" s="15"/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A5" s="19"/>
      <c r="E5" s="19"/>
      <c r="I5" s="6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SUM(G6+H6)</f>
        <v>0</v>
      </c>
    </row>
    <row r="7" spans="1:9" x14ac:dyDescent="0.15">
      <c r="A7" s="35"/>
      <c r="B7" s="35"/>
      <c r="D7" s="14"/>
      <c r="E7" s="14"/>
      <c r="F7" s="14"/>
      <c r="G7" s="14"/>
      <c r="I7" s="6"/>
    </row>
    <row r="8" spans="1:9" x14ac:dyDescent="0.15">
      <c r="A8" s="36" t="s">
        <v>1592</v>
      </c>
      <c r="C8" s="210" t="s">
        <v>196</v>
      </c>
      <c r="E8" s="5"/>
      <c r="F8" s="5"/>
      <c r="G8" s="5"/>
      <c r="I8" s="6"/>
    </row>
    <row r="9" spans="1:9" x14ac:dyDescent="0.15">
      <c r="A9" s="1" t="s">
        <v>1602</v>
      </c>
      <c r="B9" s="211" t="s">
        <v>1159</v>
      </c>
      <c r="C9" s="1" t="s">
        <v>443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>SUM(G9+H9)</f>
        <v>0</v>
      </c>
    </row>
    <row r="10" spans="1:9" x14ac:dyDescent="0.15">
      <c r="A10" s="1" t="s">
        <v>105</v>
      </c>
      <c r="B10" s="211" t="s">
        <v>1160</v>
      </c>
      <c r="C10" s="2" t="s">
        <v>854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>SUM(G10+H10)</f>
        <v>0</v>
      </c>
    </row>
    <row r="11" spans="1:9" x14ac:dyDescent="0.15">
      <c r="B11" s="211" t="s">
        <v>1161</v>
      </c>
      <c r="C11" s="1" t="s">
        <v>1171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>SUM(G11+H11)</f>
        <v>0</v>
      </c>
    </row>
    <row r="12" spans="1:9" ht="11.25" thickBot="1" x14ac:dyDescent="0.2">
      <c r="I12" s="6"/>
    </row>
    <row r="13" spans="1:9" ht="12" thickTop="1" thickBot="1" x14ac:dyDescent="0.2">
      <c r="B13" s="211" t="s">
        <v>1228</v>
      </c>
      <c r="C13" s="35" t="s">
        <v>219</v>
      </c>
      <c r="D13" s="42">
        <f t="shared" ref="D13:I13" si="0">SUM(D9:D12)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42">
        <f t="shared" si="0"/>
        <v>0</v>
      </c>
    </row>
    <row r="14" spans="1:9" ht="12" thickTop="1" thickBot="1" x14ac:dyDescent="0.2">
      <c r="C14" s="1"/>
      <c r="I14" s="6"/>
    </row>
    <row r="15" spans="1:9" ht="11.25" thickBot="1" x14ac:dyDescent="0.2">
      <c r="A15" s="35" t="s">
        <v>1196</v>
      </c>
      <c r="D15" s="44">
        <f t="shared" ref="D15:I15" si="1">D6+D13</f>
        <v>0</v>
      </c>
      <c r="E15" s="44">
        <f t="shared" si="1"/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</row>
    <row r="16" spans="1:9" x14ac:dyDescent="0.15">
      <c r="E16" s="5"/>
      <c r="F16" s="5"/>
      <c r="G16" s="5"/>
      <c r="I16" s="6"/>
    </row>
    <row r="17" spans="1:9" x14ac:dyDescent="0.15">
      <c r="A17" s="660" t="s">
        <v>824</v>
      </c>
      <c r="B17" s="424"/>
      <c r="C17" s="495" t="s">
        <v>816</v>
      </c>
      <c r="D17" s="423"/>
      <c r="E17" s="423"/>
      <c r="F17" s="423"/>
      <c r="G17" s="423"/>
      <c r="H17" s="423"/>
      <c r="I17" s="179"/>
    </row>
    <row r="18" spans="1:9" s="158" customFormat="1" x14ac:dyDescent="0.15">
      <c r="A18" s="436" t="s">
        <v>105</v>
      </c>
      <c r="B18" s="501" t="s">
        <v>269</v>
      </c>
      <c r="C18" s="2" t="s">
        <v>827</v>
      </c>
      <c r="D18" s="41">
        <v>0</v>
      </c>
      <c r="E18" s="41">
        <v>0</v>
      </c>
      <c r="F18" s="41">
        <v>0</v>
      </c>
      <c r="G18" s="41">
        <v>0</v>
      </c>
      <c r="H18" s="534">
        <v>0</v>
      </c>
      <c r="I18" s="535">
        <f>SUM(G18+H18)</f>
        <v>0</v>
      </c>
    </row>
    <row r="19" spans="1:9" s="158" customFormat="1" x14ac:dyDescent="0.15">
      <c r="A19" s="436"/>
      <c r="B19" s="501"/>
      <c r="C19" s="2"/>
      <c r="D19" s="14"/>
      <c r="E19" s="14"/>
      <c r="F19" s="14"/>
      <c r="G19" s="14"/>
      <c r="H19" s="308"/>
      <c r="I19" s="305"/>
    </row>
    <row r="20" spans="1:9" s="158" customFormat="1" x14ac:dyDescent="0.15">
      <c r="A20"/>
      <c r="B20"/>
      <c r="C20"/>
      <c r="D20"/>
      <c r="E20" s="5"/>
      <c r="F20" s="5"/>
      <c r="G20" s="5"/>
      <c r="H20"/>
      <c r="I20" s="6"/>
    </row>
    <row r="21" spans="1:9" s="158" customFormat="1" x14ac:dyDescent="0.15">
      <c r="A21" s="36" t="s">
        <v>198</v>
      </c>
      <c r="C21" s="210" t="s">
        <v>199</v>
      </c>
      <c r="D21" s="159"/>
      <c r="E21" s="159"/>
      <c r="F21" s="159"/>
      <c r="I21" s="167"/>
    </row>
    <row r="22" spans="1:9" s="158" customFormat="1" x14ac:dyDescent="0.15">
      <c r="A22" s="36"/>
      <c r="C22" s="158" t="s">
        <v>1190</v>
      </c>
      <c r="D22" s="159"/>
      <c r="E22" s="159"/>
      <c r="F22" s="159"/>
      <c r="I22" s="167"/>
    </row>
    <row r="23" spans="1:9" s="158" customFormat="1" x14ac:dyDescent="0.15">
      <c r="A23" s="115" t="s">
        <v>423</v>
      </c>
      <c r="B23" s="160" t="s">
        <v>1229</v>
      </c>
      <c r="C23" s="115" t="s">
        <v>230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564">
        <f t="shared" ref="I23:I31" si="2">SUM(G23+H23)</f>
        <v>0</v>
      </c>
    </row>
    <row r="24" spans="1:9" s="158" customFormat="1" x14ac:dyDescent="0.15">
      <c r="A24" s="115" t="s">
        <v>424</v>
      </c>
      <c r="B24" s="174" t="s">
        <v>1230</v>
      </c>
      <c r="C24" s="115" t="s">
        <v>231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564">
        <f t="shared" si="2"/>
        <v>0</v>
      </c>
    </row>
    <row r="25" spans="1:9" s="158" customFormat="1" x14ac:dyDescent="0.15">
      <c r="A25" s="115" t="s">
        <v>425</v>
      </c>
      <c r="B25" s="174" t="s">
        <v>1231</v>
      </c>
      <c r="C25" s="115" t="s">
        <v>1246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564">
        <f t="shared" si="2"/>
        <v>0</v>
      </c>
    </row>
    <row r="26" spans="1:9" s="158" customFormat="1" x14ac:dyDescent="0.15">
      <c r="A26" s="115" t="s">
        <v>426</v>
      </c>
      <c r="B26" s="174" t="s">
        <v>1232</v>
      </c>
      <c r="C26" s="115" t="s">
        <v>119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si="2"/>
        <v>0</v>
      </c>
    </row>
    <row r="27" spans="1:9" s="158" customFormat="1" x14ac:dyDescent="0.15">
      <c r="A27" s="115" t="s">
        <v>427</v>
      </c>
      <c r="B27" s="174" t="s">
        <v>1240</v>
      </c>
      <c r="C27" s="115" t="s">
        <v>124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2"/>
        <v>0</v>
      </c>
    </row>
    <row r="28" spans="1:9" s="158" customFormat="1" x14ac:dyDescent="0.15">
      <c r="A28" s="115" t="s">
        <v>428</v>
      </c>
      <c r="B28" s="174" t="s">
        <v>1244</v>
      </c>
      <c r="C28" s="115" t="s">
        <v>156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2"/>
        <v>0</v>
      </c>
    </row>
    <row r="29" spans="1:9" s="158" customFormat="1" x14ac:dyDescent="0.15">
      <c r="A29" s="108" t="s">
        <v>81</v>
      </c>
      <c r="B29" s="174" t="s">
        <v>1245</v>
      </c>
      <c r="C29" s="1" t="s">
        <v>82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2"/>
        <v>0</v>
      </c>
    </row>
    <row r="30" spans="1:9" s="158" customFormat="1" x14ac:dyDescent="0.15">
      <c r="A30" s="108" t="s">
        <v>631</v>
      </c>
      <c r="B30" s="174" t="s">
        <v>1241</v>
      </c>
      <c r="C30" s="1" t="s">
        <v>173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2"/>
        <v>0</v>
      </c>
    </row>
    <row r="31" spans="1:9" s="158" customFormat="1" x14ac:dyDescent="0.15">
      <c r="A31" s="115" t="s">
        <v>429</v>
      </c>
      <c r="B31" s="174" t="s">
        <v>1242</v>
      </c>
      <c r="C31" s="115" t="s">
        <v>1572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2"/>
        <v>0</v>
      </c>
    </row>
    <row r="32" spans="1:9" s="158" customFormat="1" ht="11.25" thickBot="1" x14ac:dyDescent="0.2">
      <c r="A32" s="115"/>
      <c r="C32" s="115"/>
      <c r="D32" s="14"/>
      <c r="E32" s="159"/>
      <c r="F32" s="159"/>
      <c r="I32" s="167"/>
    </row>
    <row r="33" spans="1:9" s="158" customFormat="1" ht="12" thickTop="1" thickBot="1" x14ac:dyDescent="0.2">
      <c r="B33" s="174" t="s">
        <v>1247</v>
      </c>
      <c r="C33" s="115" t="s">
        <v>1197</v>
      </c>
      <c r="D33" s="169">
        <f t="shared" ref="D33:I33" si="3">SUM(D23:D31)</f>
        <v>0</v>
      </c>
      <c r="E33" s="169">
        <f t="shared" si="3"/>
        <v>0</v>
      </c>
      <c r="F33" s="169">
        <f t="shared" si="3"/>
        <v>0</v>
      </c>
      <c r="G33" s="169">
        <f t="shared" si="3"/>
        <v>0</v>
      </c>
      <c r="H33" s="169">
        <f t="shared" si="3"/>
        <v>0</v>
      </c>
      <c r="I33" s="169">
        <f t="shared" si="3"/>
        <v>0</v>
      </c>
    </row>
    <row r="34" spans="1:9" s="158" customFormat="1" ht="11.25" thickTop="1" x14ac:dyDescent="0.15">
      <c r="A34" s="36"/>
      <c r="C34" s="40"/>
      <c r="D34" s="159"/>
      <c r="E34" s="159"/>
      <c r="F34" s="159"/>
      <c r="I34" s="167"/>
    </row>
    <row r="35" spans="1:9" s="158" customFormat="1" x14ac:dyDescent="0.15">
      <c r="A35" s="36"/>
      <c r="C35" s="172" t="s">
        <v>217</v>
      </c>
      <c r="D35" s="159"/>
      <c r="E35" s="159"/>
      <c r="F35" s="159"/>
      <c r="I35" s="167"/>
    </row>
    <row r="36" spans="1:9" s="158" customFormat="1" x14ac:dyDescent="0.15">
      <c r="A36" s="115" t="s">
        <v>423</v>
      </c>
      <c r="B36" s="160" t="s">
        <v>1248</v>
      </c>
      <c r="C36" s="115" t="s">
        <v>230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ref="I36:I45" si="4">SUM(G36+H36)</f>
        <v>0</v>
      </c>
    </row>
    <row r="37" spans="1:9" s="158" customFormat="1" x14ac:dyDescent="0.15">
      <c r="A37" s="115" t="s">
        <v>424</v>
      </c>
      <c r="B37" s="174" t="s">
        <v>1249</v>
      </c>
      <c r="C37" s="115" t="s">
        <v>231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4"/>
        <v>0</v>
      </c>
    </row>
    <row r="38" spans="1:9" s="158" customFormat="1" x14ac:dyDescent="0.15">
      <c r="A38" s="115" t="s">
        <v>425</v>
      </c>
      <c r="B38" s="174" t="s">
        <v>1250</v>
      </c>
      <c r="C38" s="115" t="s">
        <v>1246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4"/>
        <v>0</v>
      </c>
    </row>
    <row r="39" spans="1:9" s="158" customFormat="1" x14ac:dyDescent="0.15">
      <c r="A39" s="115" t="s">
        <v>426</v>
      </c>
      <c r="B39" s="174" t="s">
        <v>1251</v>
      </c>
      <c r="C39" s="115" t="s">
        <v>119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4"/>
        <v>0</v>
      </c>
    </row>
    <row r="40" spans="1:9" s="158" customFormat="1" x14ac:dyDescent="0.15">
      <c r="A40" s="115" t="s">
        <v>427</v>
      </c>
      <c r="B40" s="174" t="s">
        <v>1252</v>
      </c>
      <c r="C40" s="115" t="s">
        <v>124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 t="shared" si="4"/>
        <v>0</v>
      </c>
    </row>
    <row r="41" spans="1:9" s="158" customFormat="1" x14ac:dyDescent="0.15">
      <c r="A41" s="115" t="s">
        <v>428</v>
      </c>
      <c r="B41" s="174" t="s">
        <v>1253</v>
      </c>
      <c r="C41" s="115" t="s">
        <v>156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4"/>
        <v>0</v>
      </c>
    </row>
    <row r="42" spans="1:9" s="158" customFormat="1" x14ac:dyDescent="0.15">
      <c r="A42" s="108" t="s">
        <v>81</v>
      </c>
      <c r="B42" s="174" t="s">
        <v>1254</v>
      </c>
      <c r="C42" s="1" t="s">
        <v>82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 t="shared" si="4"/>
        <v>0</v>
      </c>
    </row>
    <row r="43" spans="1:9" s="158" customFormat="1" x14ac:dyDescent="0.15">
      <c r="A43" s="108" t="s">
        <v>631</v>
      </c>
      <c r="B43" s="174" t="s">
        <v>1255</v>
      </c>
      <c r="C43" s="1" t="s">
        <v>173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 t="shared" si="4"/>
        <v>0</v>
      </c>
    </row>
    <row r="44" spans="1:9" x14ac:dyDescent="0.15">
      <c r="A44" s="152"/>
      <c r="B44" s="152"/>
      <c r="C44" s="665" t="s">
        <v>895</v>
      </c>
      <c r="D44" s="529">
        <f t="shared" ref="D44:I44" si="5">+D18</f>
        <v>0</v>
      </c>
      <c r="E44" s="529">
        <f t="shared" si="5"/>
        <v>0</v>
      </c>
      <c r="F44" s="529">
        <f t="shared" si="5"/>
        <v>0</v>
      </c>
      <c r="G44" s="529">
        <f t="shared" si="5"/>
        <v>0</v>
      </c>
      <c r="H44" s="529">
        <f t="shared" si="5"/>
        <v>0</v>
      </c>
      <c r="I44" s="529">
        <f t="shared" si="5"/>
        <v>0</v>
      </c>
    </row>
    <row r="45" spans="1:9" s="158" customFormat="1" x14ac:dyDescent="0.15">
      <c r="A45" s="115" t="s">
        <v>429</v>
      </c>
      <c r="B45" s="174" t="s">
        <v>1260</v>
      </c>
      <c r="C45" s="115" t="s">
        <v>1572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564">
        <f t="shared" si="4"/>
        <v>0</v>
      </c>
    </row>
    <row r="46" spans="1:9" ht="11.25" thickBot="1" x14ac:dyDescent="0.2">
      <c r="A46" s="115"/>
      <c r="B46" s="158"/>
      <c r="C46" s="115"/>
      <c r="D46" s="14"/>
      <c r="E46" s="159"/>
      <c r="F46" s="159"/>
      <c r="G46" s="158"/>
      <c r="H46" s="158"/>
      <c r="I46" s="167"/>
    </row>
    <row r="47" spans="1:9" ht="12" thickTop="1" thickBot="1" x14ac:dyDescent="0.2">
      <c r="A47" s="158"/>
      <c r="B47" s="174" t="s">
        <v>1261</v>
      </c>
      <c r="C47" s="172" t="s">
        <v>1198</v>
      </c>
      <c r="D47" s="169">
        <f t="shared" ref="D47:I47" si="6">SUM(D36:D45)</f>
        <v>0</v>
      </c>
      <c r="E47" s="169">
        <f t="shared" si="6"/>
        <v>0</v>
      </c>
      <c r="F47" s="169">
        <f t="shared" si="6"/>
        <v>0</v>
      </c>
      <c r="G47" s="169">
        <f t="shared" si="6"/>
        <v>0</v>
      </c>
      <c r="H47" s="169">
        <f t="shared" si="6"/>
        <v>0</v>
      </c>
      <c r="I47" s="169">
        <f t="shared" si="6"/>
        <v>0</v>
      </c>
    </row>
    <row r="48" spans="1:9" ht="12" thickTop="1" thickBot="1" x14ac:dyDescent="0.2">
      <c r="D48" s="5"/>
      <c r="E48" s="5"/>
      <c r="F48" s="5"/>
      <c r="I48" s="6"/>
    </row>
    <row r="49" spans="1:9" ht="12" thickTop="1" thickBot="1" x14ac:dyDescent="0.2">
      <c r="A49" s="158"/>
      <c r="B49" s="174" t="s">
        <v>1262</v>
      </c>
      <c r="C49" s="35" t="s">
        <v>1199</v>
      </c>
      <c r="D49" s="169">
        <f t="shared" ref="D49:I49" si="7">D33+D47</f>
        <v>0</v>
      </c>
      <c r="E49" s="169">
        <f t="shared" si="7"/>
        <v>0</v>
      </c>
      <c r="F49" s="169">
        <f t="shared" si="7"/>
        <v>0</v>
      </c>
      <c r="G49" s="169">
        <f t="shared" si="7"/>
        <v>0</v>
      </c>
      <c r="H49" s="169">
        <f t="shared" si="7"/>
        <v>0</v>
      </c>
      <c r="I49" s="169">
        <f t="shared" si="7"/>
        <v>0</v>
      </c>
    </row>
    <row r="50" spans="1:9" ht="11.25" thickTop="1" x14ac:dyDescent="0.15">
      <c r="E50" s="5"/>
      <c r="F50" s="5"/>
      <c r="G50" s="5"/>
      <c r="I50" s="6"/>
    </row>
    <row r="51" spans="1:9" x14ac:dyDescent="0.15">
      <c r="A51" s="155" t="s">
        <v>110</v>
      </c>
      <c r="C51" s="210" t="s">
        <v>737</v>
      </c>
      <c r="D51" s="159"/>
      <c r="E51" s="159"/>
      <c r="F51" s="159"/>
      <c r="G51" s="159"/>
      <c r="I51" s="6"/>
    </row>
    <row r="52" spans="1:9" x14ac:dyDescent="0.15">
      <c r="A52" s="558" t="s">
        <v>1522</v>
      </c>
      <c r="B52" s="726" t="s">
        <v>1263</v>
      </c>
      <c r="C52" s="138" t="s">
        <v>1516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64">
        <f>SUM(G52+H52)</f>
        <v>0</v>
      </c>
    </row>
    <row r="53" spans="1:9" x14ac:dyDescent="0.15">
      <c r="A53" s="725" t="s">
        <v>1680</v>
      </c>
      <c r="B53" s="726" t="s">
        <v>1265</v>
      </c>
      <c r="C53" s="138" t="s">
        <v>1518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64">
        <f>SUM(G53+H53)</f>
        <v>0</v>
      </c>
    </row>
    <row r="54" spans="1:9" ht="11.25" customHeight="1" x14ac:dyDescent="0.15">
      <c r="A54" s="725" t="s">
        <v>1675</v>
      </c>
      <c r="B54" s="726" t="s">
        <v>1266</v>
      </c>
      <c r="C54" s="692" t="s">
        <v>1676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564">
        <f>SUM(G54+H54)</f>
        <v>0</v>
      </c>
    </row>
    <row r="55" spans="1:9" ht="11.25" thickBot="1" x14ac:dyDescent="0.2">
      <c r="A55" s="558" t="s">
        <v>1526</v>
      </c>
      <c r="B55" s="726" t="s">
        <v>1267</v>
      </c>
      <c r="C55" s="138" t="s">
        <v>1520</v>
      </c>
      <c r="D55" s="150">
        <v>0</v>
      </c>
      <c r="E55" s="150">
        <v>0</v>
      </c>
      <c r="F55" s="150">
        <v>0</v>
      </c>
      <c r="G55" s="150">
        <v>0</v>
      </c>
      <c r="H55" s="41">
        <v>0</v>
      </c>
      <c r="I55" s="564">
        <f>SUM(G55+H55)</f>
        <v>0</v>
      </c>
    </row>
    <row r="56" spans="1:9" ht="12" thickTop="1" thickBot="1" x14ac:dyDescent="0.2">
      <c r="A56" s="149"/>
      <c r="B56" s="188" t="s">
        <v>1268</v>
      </c>
      <c r="C56" s="115" t="s">
        <v>724</v>
      </c>
      <c r="D56" s="151">
        <f t="shared" ref="D56:I56" si="8">SUM(D52:D55)</f>
        <v>0</v>
      </c>
      <c r="E56" s="151">
        <f t="shared" si="8"/>
        <v>0</v>
      </c>
      <c r="F56" s="151">
        <f t="shared" si="8"/>
        <v>0</v>
      </c>
      <c r="G56" s="151">
        <f t="shared" si="8"/>
        <v>0</v>
      </c>
      <c r="H56" s="151">
        <f t="shared" si="8"/>
        <v>0</v>
      </c>
      <c r="I56" s="169">
        <f t="shared" si="8"/>
        <v>0</v>
      </c>
    </row>
    <row r="57" spans="1:9" ht="12" thickTop="1" thickBot="1" x14ac:dyDescent="0.2">
      <c r="A57" s="149"/>
      <c r="B57" s="158"/>
      <c r="C57" s="115"/>
      <c r="D57" s="159"/>
      <c r="E57" s="159"/>
      <c r="F57" s="159"/>
      <c r="G57" s="159"/>
      <c r="I57" s="6"/>
    </row>
    <row r="58" spans="1:9" ht="11.25" thickBot="1" x14ac:dyDescent="0.2">
      <c r="A58" s="776" t="s">
        <v>1695</v>
      </c>
      <c r="B58" s="776"/>
      <c r="C58" s="777"/>
      <c r="D58" s="212">
        <f t="shared" ref="D58:I58" si="9">D49+D56</f>
        <v>0</v>
      </c>
      <c r="E58" s="212">
        <f t="shared" si="9"/>
        <v>0</v>
      </c>
      <c r="F58" s="212">
        <f t="shared" si="9"/>
        <v>0</v>
      </c>
      <c r="G58" s="212">
        <f t="shared" si="9"/>
        <v>0</v>
      </c>
      <c r="H58" s="212">
        <f t="shared" si="9"/>
        <v>0</v>
      </c>
      <c r="I58" s="212">
        <f t="shared" si="9"/>
        <v>0</v>
      </c>
    </row>
    <row r="59" spans="1:9" x14ac:dyDescent="0.15">
      <c r="A59" s="149"/>
      <c r="B59" s="158"/>
      <c r="C59" s="115" t="s">
        <v>725</v>
      </c>
      <c r="D59" s="159"/>
      <c r="E59" s="159"/>
      <c r="F59" s="159"/>
      <c r="G59" s="159"/>
      <c r="I59" s="6"/>
    </row>
    <row r="60" spans="1:9" ht="11.25" thickBot="1" x14ac:dyDescent="0.2">
      <c r="A60" s="149"/>
      <c r="B60" s="158"/>
      <c r="C60" s="115"/>
      <c r="D60" s="159"/>
      <c r="E60" s="159"/>
      <c r="F60" s="159"/>
      <c r="G60" s="159"/>
      <c r="I60" s="6"/>
    </row>
    <row r="61" spans="1:9" ht="12" thickTop="1" thickBot="1" x14ac:dyDescent="0.2">
      <c r="A61" s="158"/>
      <c r="B61" s="158"/>
      <c r="C61" s="172" t="s">
        <v>726</v>
      </c>
      <c r="D61" s="173">
        <f t="shared" ref="D61:I61" si="10">D15</f>
        <v>0</v>
      </c>
      <c r="E61" s="173">
        <f t="shared" si="10"/>
        <v>0</v>
      </c>
      <c r="F61" s="173">
        <f t="shared" si="10"/>
        <v>0</v>
      </c>
      <c r="G61" s="173">
        <f t="shared" si="10"/>
        <v>0</v>
      </c>
      <c r="H61" s="173">
        <f t="shared" si="10"/>
        <v>0</v>
      </c>
      <c r="I61" s="173">
        <f t="shared" si="10"/>
        <v>0</v>
      </c>
    </row>
    <row r="62" spans="1:9" ht="11.25" thickTop="1" x14ac:dyDescent="0.15">
      <c r="A62" s="158"/>
      <c r="B62" s="158"/>
      <c r="C62" s="158"/>
      <c r="D62" s="158"/>
      <c r="E62" s="158"/>
      <c r="F62" s="158"/>
      <c r="G62" s="158"/>
      <c r="I62" s="6"/>
    </row>
    <row r="63" spans="1:9" x14ac:dyDescent="0.15">
      <c r="A63" s="158"/>
      <c r="B63" s="158"/>
      <c r="C63" s="172" t="s">
        <v>727</v>
      </c>
      <c r="D63" s="158">
        <f t="shared" ref="D63:I63" si="11">D58-D61</f>
        <v>0</v>
      </c>
      <c r="E63" s="158">
        <f t="shared" si="11"/>
        <v>0</v>
      </c>
      <c r="F63" s="158">
        <f t="shared" si="11"/>
        <v>0</v>
      </c>
      <c r="G63" s="158">
        <f t="shared" si="11"/>
        <v>0</v>
      </c>
      <c r="H63" s="158">
        <f t="shared" si="11"/>
        <v>0</v>
      </c>
      <c r="I63" s="167">
        <f t="shared" si="11"/>
        <v>0</v>
      </c>
    </row>
    <row r="64" spans="1:9" x14ac:dyDescent="0.15">
      <c r="I64" s="6"/>
    </row>
  </sheetData>
  <sheetProtection formatCells="0" formatColumns="0" formatRows="0"/>
  <mergeCells count="1">
    <mergeCell ref="A58:C58"/>
  </mergeCells>
  <phoneticPr fontId="15" type="noConversion"/>
  <pageMargins left="0.5" right="0.5" top="0.75" bottom="0.75" header="0.5" footer="0.5"/>
  <pageSetup scale="65" firstPageNumber="47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34" workbookViewId="0">
      <selection activeCell="D4" sqref="D4"/>
    </sheetView>
  </sheetViews>
  <sheetFormatPr defaultColWidth="12" defaultRowHeight="10.5" x14ac:dyDescent="0.15"/>
  <cols>
    <col min="1" max="1" width="10.33203125" customWidth="1"/>
    <col min="2" max="2" width="3.83203125" customWidth="1"/>
    <col min="3" max="3" width="70.83203125" customWidth="1"/>
    <col min="4" max="4" width="15.83203125" customWidth="1"/>
    <col min="5" max="5" width="19" customWidth="1"/>
    <col min="6" max="6" width="20" customWidth="1"/>
    <col min="7" max="7" width="15.83203125" customWidth="1"/>
    <col min="8" max="8" width="17.83203125" customWidth="1"/>
    <col min="9" max="9" width="16.1640625" customWidth="1"/>
  </cols>
  <sheetData>
    <row r="1" spans="1:9" x14ac:dyDescent="0.15">
      <c r="A1" t="s">
        <v>106</v>
      </c>
      <c r="C1" s="10">
        <f>+'Page 1 - FY2014-15'!B5</f>
        <v>0</v>
      </c>
      <c r="D1" t="s">
        <v>1586</v>
      </c>
      <c r="E1" s="106">
        <f>+'Page 1 - FY2014-15'!F7</f>
        <v>0</v>
      </c>
      <c r="G1" s="38" t="s">
        <v>1588</v>
      </c>
    </row>
    <row r="2" spans="1:9" x14ac:dyDescent="0.15">
      <c r="A2" s="15" t="s">
        <v>956</v>
      </c>
      <c r="E2" s="38"/>
      <c r="F2" s="38"/>
    </row>
    <row r="3" spans="1:9" ht="31.5" x14ac:dyDescent="0.15">
      <c r="A3" s="15"/>
      <c r="D3" s="686" t="s">
        <v>1701</v>
      </c>
      <c r="E3" s="686" t="s">
        <v>1702</v>
      </c>
      <c r="F3" s="686" t="s">
        <v>1703</v>
      </c>
      <c r="G3" s="686" t="s">
        <v>1704</v>
      </c>
      <c r="H3" s="686" t="s">
        <v>1705</v>
      </c>
      <c r="I3" s="686" t="s">
        <v>1706</v>
      </c>
    </row>
    <row r="4" spans="1:9" ht="52.5" x14ac:dyDescent="0.15">
      <c r="A4" s="19"/>
      <c r="D4" s="166"/>
      <c r="E4" s="166"/>
      <c r="F4" s="166"/>
      <c r="G4" s="166"/>
      <c r="H4" s="251" t="s">
        <v>193</v>
      </c>
      <c r="I4" s="251" t="s">
        <v>192</v>
      </c>
    </row>
    <row r="5" spans="1:9" ht="11.25" thickBot="1" x14ac:dyDescent="0.2">
      <c r="A5" s="19"/>
      <c r="E5" s="19"/>
      <c r="I5" s="6"/>
    </row>
    <row r="6" spans="1:9" ht="11.25" thickBot="1" x14ac:dyDescent="0.2">
      <c r="A6" s="35" t="s">
        <v>195</v>
      </c>
      <c r="B6" s="35" t="s">
        <v>1589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171">
        <f>SUM(G6+H6)</f>
        <v>0</v>
      </c>
    </row>
    <row r="7" spans="1:9" x14ac:dyDescent="0.15">
      <c r="A7" s="35"/>
      <c r="B7" s="35"/>
      <c r="D7" s="14"/>
      <c r="E7" s="14"/>
      <c r="F7" s="14"/>
      <c r="G7" s="14"/>
      <c r="I7" s="6"/>
    </row>
    <row r="8" spans="1:9" x14ac:dyDescent="0.15">
      <c r="A8" s="36" t="s">
        <v>1592</v>
      </c>
      <c r="C8" s="210" t="s">
        <v>196</v>
      </c>
      <c r="E8" s="5"/>
      <c r="F8" s="5"/>
      <c r="G8" s="5"/>
      <c r="I8" s="6"/>
    </row>
    <row r="9" spans="1:9" x14ac:dyDescent="0.15">
      <c r="A9" s="1" t="s">
        <v>1602</v>
      </c>
      <c r="B9" s="211" t="s">
        <v>1159</v>
      </c>
      <c r="C9" s="1" t="s">
        <v>443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564">
        <f>SUM(G9+H9)</f>
        <v>0</v>
      </c>
    </row>
    <row r="10" spans="1:9" x14ac:dyDescent="0.15">
      <c r="A10" s="1" t="s">
        <v>105</v>
      </c>
      <c r="B10" s="211" t="s">
        <v>1160</v>
      </c>
      <c r="C10" s="2" t="s">
        <v>854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564">
        <f>SUM(G10+H10)</f>
        <v>0</v>
      </c>
    </row>
    <row r="11" spans="1:9" x14ac:dyDescent="0.15">
      <c r="B11" s="211" t="s">
        <v>1161</v>
      </c>
      <c r="C11" s="1" t="s">
        <v>957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564">
        <f>SUM(G11+H11)</f>
        <v>0</v>
      </c>
    </row>
    <row r="12" spans="1:9" ht="11.25" thickBot="1" x14ac:dyDescent="0.2">
      <c r="I12" s="6"/>
    </row>
    <row r="13" spans="1:9" ht="12" thickTop="1" thickBot="1" x14ac:dyDescent="0.2">
      <c r="B13" s="211" t="s">
        <v>1228</v>
      </c>
      <c r="C13" s="35" t="s">
        <v>219</v>
      </c>
      <c r="D13" s="42">
        <f t="shared" ref="D13:I13" si="0">SUM(D9:D12)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42">
        <f t="shared" si="0"/>
        <v>0</v>
      </c>
    </row>
    <row r="14" spans="1:9" ht="12" thickTop="1" thickBot="1" x14ac:dyDescent="0.2">
      <c r="C14" s="1"/>
      <c r="I14" s="6"/>
    </row>
    <row r="15" spans="1:9" ht="11.25" thickBot="1" x14ac:dyDescent="0.2">
      <c r="A15" s="35" t="s">
        <v>1196</v>
      </c>
      <c r="D15" s="44">
        <f t="shared" ref="D15:I15" si="1">D6+D13</f>
        <v>0</v>
      </c>
      <c r="E15" s="44">
        <f t="shared" si="1"/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</row>
    <row r="16" spans="1:9" x14ac:dyDescent="0.15">
      <c r="E16" s="5"/>
      <c r="F16" s="5"/>
      <c r="G16" s="5"/>
      <c r="I16" s="6"/>
    </row>
    <row r="17" spans="1:9" x14ac:dyDescent="0.15">
      <c r="A17" s="660" t="s">
        <v>824</v>
      </c>
      <c r="B17" s="424"/>
      <c r="C17" s="495" t="s">
        <v>816</v>
      </c>
      <c r="D17" s="423"/>
      <c r="E17" s="423"/>
      <c r="F17" s="423"/>
      <c r="G17" s="423"/>
      <c r="H17" s="423"/>
      <c r="I17" s="179"/>
    </row>
    <row r="18" spans="1:9" s="158" customFormat="1" x14ac:dyDescent="0.15">
      <c r="A18" s="436" t="s">
        <v>105</v>
      </c>
      <c r="B18" s="501" t="s">
        <v>269</v>
      </c>
      <c r="C18" s="2" t="s">
        <v>827</v>
      </c>
      <c r="D18" s="41">
        <v>0</v>
      </c>
      <c r="E18" s="41">
        <v>0</v>
      </c>
      <c r="F18" s="41">
        <v>0</v>
      </c>
      <c r="G18" s="41">
        <v>0</v>
      </c>
      <c r="H18" s="534">
        <v>0</v>
      </c>
      <c r="I18" s="535">
        <f>SUM(G18+H18)</f>
        <v>0</v>
      </c>
    </row>
    <row r="19" spans="1:9" s="158" customFormat="1" x14ac:dyDescent="0.15">
      <c r="A19" s="436"/>
      <c r="B19" s="501"/>
      <c r="C19" s="2"/>
      <c r="D19" s="14"/>
      <c r="E19" s="14"/>
      <c r="F19" s="14"/>
      <c r="G19" s="14"/>
      <c r="H19" s="308"/>
      <c r="I19" s="305"/>
    </row>
    <row r="20" spans="1:9" s="158" customFormat="1" x14ac:dyDescent="0.15">
      <c r="A20"/>
      <c r="B20"/>
      <c r="C20"/>
      <c r="D20"/>
      <c r="E20" s="5"/>
      <c r="F20" s="5"/>
      <c r="G20" s="5"/>
      <c r="H20"/>
      <c r="I20" s="6"/>
    </row>
    <row r="21" spans="1:9" s="158" customFormat="1" x14ac:dyDescent="0.15">
      <c r="A21" s="36" t="s">
        <v>198</v>
      </c>
      <c r="C21" s="210" t="s">
        <v>199</v>
      </c>
      <c r="D21" s="159"/>
      <c r="E21" s="159"/>
      <c r="F21" s="159"/>
      <c r="I21" s="167"/>
    </row>
    <row r="22" spans="1:9" s="158" customFormat="1" x14ac:dyDescent="0.15">
      <c r="A22" s="36"/>
      <c r="C22" s="158" t="s">
        <v>1190</v>
      </c>
      <c r="D22" s="159"/>
      <c r="E22" s="159"/>
      <c r="F22" s="159"/>
      <c r="I22" s="167"/>
    </row>
    <row r="23" spans="1:9" s="158" customFormat="1" x14ac:dyDescent="0.15">
      <c r="A23" s="115" t="s">
        <v>423</v>
      </c>
      <c r="B23" s="160" t="s">
        <v>1229</v>
      </c>
      <c r="C23" s="115" t="s">
        <v>230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564">
        <f t="shared" ref="I23:I31" si="2">SUM(G23+H23)</f>
        <v>0</v>
      </c>
    </row>
    <row r="24" spans="1:9" s="158" customFormat="1" x14ac:dyDescent="0.15">
      <c r="A24" s="115" t="s">
        <v>424</v>
      </c>
      <c r="B24" s="174" t="s">
        <v>1230</v>
      </c>
      <c r="C24" s="115" t="s">
        <v>231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564">
        <f t="shared" si="2"/>
        <v>0</v>
      </c>
    </row>
    <row r="25" spans="1:9" s="158" customFormat="1" x14ac:dyDescent="0.15">
      <c r="A25" s="115" t="s">
        <v>425</v>
      </c>
      <c r="B25" s="174" t="s">
        <v>1231</v>
      </c>
      <c r="C25" s="115" t="s">
        <v>1246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564">
        <f t="shared" si="2"/>
        <v>0</v>
      </c>
    </row>
    <row r="26" spans="1:9" s="158" customFormat="1" x14ac:dyDescent="0.15">
      <c r="A26" s="115" t="s">
        <v>426</v>
      </c>
      <c r="B26" s="174" t="s">
        <v>1232</v>
      </c>
      <c r="C26" s="115" t="s">
        <v>119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564">
        <f t="shared" si="2"/>
        <v>0</v>
      </c>
    </row>
    <row r="27" spans="1:9" s="158" customFormat="1" x14ac:dyDescent="0.15">
      <c r="A27" s="115" t="s">
        <v>427</v>
      </c>
      <c r="B27" s="174" t="s">
        <v>1240</v>
      </c>
      <c r="C27" s="115" t="s">
        <v>124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564">
        <f t="shared" si="2"/>
        <v>0</v>
      </c>
    </row>
    <row r="28" spans="1:9" s="158" customFormat="1" x14ac:dyDescent="0.15">
      <c r="A28" s="115" t="s">
        <v>428</v>
      </c>
      <c r="B28" s="174" t="s">
        <v>1244</v>
      </c>
      <c r="C28" s="115" t="s">
        <v>156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564">
        <f t="shared" si="2"/>
        <v>0</v>
      </c>
    </row>
    <row r="29" spans="1:9" s="158" customFormat="1" x14ac:dyDescent="0.15">
      <c r="A29" s="108" t="s">
        <v>81</v>
      </c>
      <c r="B29" s="174" t="s">
        <v>1245</v>
      </c>
      <c r="C29" s="1" t="s">
        <v>82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564">
        <f t="shared" si="2"/>
        <v>0</v>
      </c>
    </row>
    <row r="30" spans="1:9" s="158" customFormat="1" x14ac:dyDescent="0.15">
      <c r="A30" s="108" t="s">
        <v>631</v>
      </c>
      <c r="B30" s="174" t="s">
        <v>1241</v>
      </c>
      <c r="C30" s="1" t="s">
        <v>173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564">
        <f t="shared" si="2"/>
        <v>0</v>
      </c>
    </row>
    <row r="31" spans="1:9" s="158" customFormat="1" x14ac:dyDescent="0.15">
      <c r="A31" s="115" t="s">
        <v>429</v>
      </c>
      <c r="B31" s="174" t="s">
        <v>1242</v>
      </c>
      <c r="C31" s="115" t="s">
        <v>1572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564">
        <f t="shared" si="2"/>
        <v>0</v>
      </c>
    </row>
    <row r="32" spans="1:9" s="158" customFormat="1" ht="11.25" thickBot="1" x14ac:dyDescent="0.2">
      <c r="A32" s="115"/>
      <c r="C32" s="115"/>
      <c r="D32" s="14"/>
      <c r="E32" s="159"/>
      <c r="F32" s="159"/>
      <c r="I32" s="167"/>
    </row>
    <row r="33" spans="1:9" s="158" customFormat="1" ht="12" thickTop="1" thickBot="1" x14ac:dyDescent="0.2">
      <c r="B33" s="174" t="s">
        <v>1247</v>
      </c>
      <c r="C33" s="115" t="s">
        <v>1197</v>
      </c>
      <c r="D33" s="169">
        <f t="shared" ref="D33:I33" si="3">SUM(D23:D31)</f>
        <v>0</v>
      </c>
      <c r="E33" s="169">
        <f t="shared" si="3"/>
        <v>0</v>
      </c>
      <c r="F33" s="169">
        <f t="shared" si="3"/>
        <v>0</v>
      </c>
      <c r="G33" s="169">
        <f t="shared" si="3"/>
        <v>0</v>
      </c>
      <c r="H33" s="169">
        <f t="shared" si="3"/>
        <v>0</v>
      </c>
      <c r="I33" s="169">
        <f t="shared" si="3"/>
        <v>0</v>
      </c>
    </row>
    <row r="34" spans="1:9" s="158" customFormat="1" ht="11.25" thickTop="1" x14ac:dyDescent="0.15">
      <c r="A34" s="36"/>
      <c r="C34" s="40"/>
      <c r="D34" s="159"/>
      <c r="E34" s="159"/>
      <c r="F34" s="159"/>
      <c r="I34" s="167"/>
    </row>
    <row r="35" spans="1:9" s="158" customFormat="1" x14ac:dyDescent="0.15">
      <c r="A35" s="36"/>
      <c r="C35" s="172" t="s">
        <v>217</v>
      </c>
      <c r="D35" s="159"/>
      <c r="E35" s="159"/>
      <c r="F35" s="159"/>
      <c r="I35" s="167"/>
    </row>
    <row r="36" spans="1:9" s="158" customFormat="1" x14ac:dyDescent="0.15">
      <c r="A36" s="115" t="s">
        <v>423</v>
      </c>
      <c r="B36" s="160" t="s">
        <v>1248</v>
      </c>
      <c r="C36" s="115" t="s">
        <v>230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564">
        <f t="shared" ref="I36:I45" si="4">SUM(G36+H36)</f>
        <v>0</v>
      </c>
    </row>
    <row r="37" spans="1:9" s="158" customFormat="1" x14ac:dyDescent="0.15">
      <c r="A37" s="115" t="s">
        <v>424</v>
      </c>
      <c r="B37" s="174" t="s">
        <v>1249</v>
      </c>
      <c r="C37" s="115" t="s">
        <v>231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564">
        <f t="shared" si="4"/>
        <v>0</v>
      </c>
    </row>
    <row r="38" spans="1:9" s="158" customFormat="1" x14ac:dyDescent="0.15">
      <c r="A38" s="115" t="s">
        <v>425</v>
      </c>
      <c r="B38" s="174" t="s">
        <v>1250</v>
      </c>
      <c r="C38" s="115" t="s">
        <v>1246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564">
        <f t="shared" si="4"/>
        <v>0</v>
      </c>
    </row>
    <row r="39" spans="1:9" s="158" customFormat="1" x14ac:dyDescent="0.15">
      <c r="A39" s="115" t="s">
        <v>426</v>
      </c>
      <c r="B39" s="174" t="s">
        <v>1251</v>
      </c>
      <c r="C39" s="115" t="s">
        <v>119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564">
        <f t="shared" si="4"/>
        <v>0</v>
      </c>
    </row>
    <row r="40" spans="1:9" s="158" customFormat="1" x14ac:dyDescent="0.15">
      <c r="A40" s="115" t="s">
        <v>427</v>
      </c>
      <c r="B40" s="174" t="s">
        <v>1252</v>
      </c>
      <c r="C40" s="115" t="s">
        <v>124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564">
        <f t="shared" si="4"/>
        <v>0</v>
      </c>
    </row>
    <row r="41" spans="1:9" s="158" customFormat="1" x14ac:dyDescent="0.15">
      <c r="A41" s="115" t="s">
        <v>428</v>
      </c>
      <c r="B41" s="174" t="s">
        <v>1253</v>
      </c>
      <c r="C41" s="115" t="s">
        <v>156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564">
        <f t="shared" si="4"/>
        <v>0</v>
      </c>
    </row>
    <row r="42" spans="1:9" s="158" customFormat="1" x14ac:dyDescent="0.15">
      <c r="A42" s="108" t="s">
        <v>81</v>
      </c>
      <c r="B42" s="174" t="s">
        <v>1254</v>
      </c>
      <c r="C42" s="1" t="s">
        <v>82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564">
        <f t="shared" si="4"/>
        <v>0</v>
      </c>
    </row>
    <row r="43" spans="1:9" s="158" customFormat="1" x14ac:dyDescent="0.15">
      <c r="A43" s="108" t="s">
        <v>631</v>
      </c>
      <c r="B43" s="174" t="s">
        <v>1255</v>
      </c>
      <c r="C43" s="1" t="s">
        <v>173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564">
        <f t="shared" si="4"/>
        <v>0</v>
      </c>
    </row>
    <row r="44" spans="1:9" x14ac:dyDescent="0.15">
      <c r="A44" s="152"/>
      <c r="B44" s="152"/>
      <c r="C44" s="665" t="s">
        <v>895</v>
      </c>
      <c r="D44" s="529">
        <f t="shared" ref="D44:I44" si="5">+D18</f>
        <v>0</v>
      </c>
      <c r="E44" s="529">
        <f t="shared" si="5"/>
        <v>0</v>
      </c>
      <c r="F44" s="529">
        <f t="shared" si="5"/>
        <v>0</v>
      </c>
      <c r="G44" s="529">
        <f t="shared" si="5"/>
        <v>0</v>
      </c>
      <c r="H44" s="529">
        <f t="shared" si="5"/>
        <v>0</v>
      </c>
      <c r="I44" s="529">
        <f t="shared" si="5"/>
        <v>0</v>
      </c>
    </row>
    <row r="45" spans="1:9" s="158" customFormat="1" x14ac:dyDescent="0.15">
      <c r="A45" s="115" t="s">
        <v>429</v>
      </c>
      <c r="B45" s="174" t="s">
        <v>1260</v>
      </c>
      <c r="C45" s="115" t="s">
        <v>1572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564">
        <f t="shared" si="4"/>
        <v>0</v>
      </c>
    </row>
    <row r="46" spans="1:9" ht="11.25" thickBot="1" x14ac:dyDescent="0.2">
      <c r="A46" s="115"/>
      <c r="B46" s="158"/>
      <c r="C46" s="115"/>
      <c r="D46" s="14"/>
      <c r="E46" s="159"/>
      <c r="F46" s="159"/>
      <c r="G46" s="158"/>
      <c r="H46" s="158"/>
      <c r="I46" s="167"/>
    </row>
    <row r="47" spans="1:9" ht="12" thickTop="1" thickBot="1" x14ac:dyDescent="0.2">
      <c r="A47" s="158"/>
      <c r="B47" s="174" t="s">
        <v>1261</v>
      </c>
      <c r="C47" s="172" t="s">
        <v>1198</v>
      </c>
      <c r="D47" s="169">
        <f t="shared" ref="D47:I47" si="6">SUM(D36:D45)</f>
        <v>0</v>
      </c>
      <c r="E47" s="169">
        <f t="shared" si="6"/>
        <v>0</v>
      </c>
      <c r="F47" s="169">
        <f t="shared" si="6"/>
        <v>0</v>
      </c>
      <c r="G47" s="169">
        <f t="shared" si="6"/>
        <v>0</v>
      </c>
      <c r="H47" s="169">
        <f t="shared" si="6"/>
        <v>0</v>
      </c>
      <c r="I47" s="169">
        <f t="shared" si="6"/>
        <v>0</v>
      </c>
    </row>
    <row r="48" spans="1:9" ht="12" thickTop="1" thickBot="1" x14ac:dyDescent="0.2">
      <c r="D48" s="5"/>
      <c r="E48" s="5"/>
      <c r="F48" s="5"/>
      <c r="I48" s="6"/>
    </row>
    <row r="49" spans="1:9" ht="12" thickTop="1" thickBot="1" x14ac:dyDescent="0.2">
      <c r="A49" s="158"/>
      <c r="B49" s="174" t="s">
        <v>1262</v>
      </c>
      <c r="C49" s="35" t="s">
        <v>1199</v>
      </c>
      <c r="D49" s="169">
        <f t="shared" ref="D49:I49" si="7">D33+D47</f>
        <v>0</v>
      </c>
      <c r="E49" s="169">
        <f t="shared" si="7"/>
        <v>0</v>
      </c>
      <c r="F49" s="169">
        <f t="shared" si="7"/>
        <v>0</v>
      </c>
      <c r="G49" s="169">
        <f t="shared" si="7"/>
        <v>0</v>
      </c>
      <c r="H49" s="169">
        <f t="shared" si="7"/>
        <v>0</v>
      </c>
      <c r="I49" s="169">
        <f t="shared" si="7"/>
        <v>0</v>
      </c>
    </row>
    <row r="50" spans="1:9" ht="11.25" thickTop="1" x14ac:dyDescent="0.15">
      <c r="E50" s="5"/>
      <c r="F50" s="5"/>
      <c r="G50" s="5"/>
      <c r="I50" s="6"/>
    </row>
    <row r="51" spans="1:9" x14ac:dyDescent="0.15">
      <c r="A51" s="155" t="s">
        <v>110</v>
      </c>
      <c r="C51" s="210" t="s">
        <v>737</v>
      </c>
      <c r="D51" s="159"/>
      <c r="E51" s="159"/>
      <c r="F51" s="159"/>
      <c r="G51" s="159"/>
      <c r="I51" s="6"/>
    </row>
    <row r="52" spans="1:9" x14ac:dyDescent="0.15">
      <c r="A52" s="154" t="s">
        <v>1522</v>
      </c>
      <c r="B52" s="160" t="s">
        <v>1263</v>
      </c>
      <c r="C52" s="115" t="s">
        <v>1516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64">
        <f>SUM(G52+H52)</f>
        <v>0</v>
      </c>
    </row>
    <row r="53" spans="1:9" x14ac:dyDescent="0.15">
      <c r="A53" s="154" t="s">
        <v>1524</v>
      </c>
      <c r="B53" s="188" t="s">
        <v>1265</v>
      </c>
      <c r="C53" s="115" t="s">
        <v>1518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564">
        <f>SUM(G53+H53)</f>
        <v>0</v>
      </c>
    </row>
    <row r="54" spans="1:9" ht="10.5" customHeight="1" x14ac:dyDescent="0.15">
      <c r="A54" s="725" t="s">
        <v>1675</v>
      </c>
      <c r="B54" s="726" t="s">
        <v>1266</v>
      </c>
      <c r="C54" s="692" t="s">
        <v>1676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564">
        <f>SUM(G54+H54)</f>
        <v>0</v>
      </c>
    </row>
    <row r="55" spans="1:9" ht="11.25" thickBot="1" x14ac:dyDescent="0.2">
      <c r="A55" s="558" t="s">
        <v>1526</v>
      </c>
      <c r="B55" s="726" t="s">
        <v>1267</v>
      </c>
      <c r="C55" s="138" t="s">
        <v>1520</v>
      </c>
      <c r="D55" s="150">
        <v>0</v>
      </c>
      <c r="E55" s="150">
        <v>0</v>
      </c>
      <c r="F55" s="150">
        <v>0</v>
      </c>
      <c r="G55" s="150">
        <v>0</v>
      </c>
      <c r="H55" s="41">
        <v>0</v>
      </c>
      <c r="I55" s="564">
        <f>SUM(G55+H55)</f>
        <v>0</v>
      </c>
    </row>
    <row r="56" spans="1:9" ht="12" thickTop="1" thickBot="1" x14ac:dyDescent="0.2">
      <c r="A56" s="149"/>
      <c r="B56" s="188" t="s">
        <v>1268</v>
      </c>
      <c r="C56" s="115" t="s">
        <v>724</v>
      </c>
      <c r="D56" s="151">
        <f t="shared" ref="D56:I56" si="8">SUM(D52:D55)</f>
        <v>0</v>
      </c>
      <c r="E56" s="151">
        <f t="shared" si="8"/>
        <v>0</v>
      </c>
      <c r="F56" s="151">
        <f t="shared" si="8"/>
        <v>0</v>
      </c>
      <c r="G56" s="151">
        <f t="shared" si="8"/>
        <v>0</v>
      </c>
      <c r="H56" s="151">
        <f t="shared" si="8"/>
        <v>0</v>
      </c>
      <c r="I56" s="169">
        <f t="shared" si="8"/>
        <v>0</v>
      </c>
    </row>
    <row r="57" spans="1:9" ht="12" thickTop="1" thickBot="1" x14ac:dyDescent="0.2">
      <c r="A57" s="149"/>
      <c r="B57" s="158"/>
      <c r="C57" s="115"/>
      <c r="D57" s="159"/>
      <c r="E57" s="159"/>
      <c r="F57" s="159"/>
      <c r="G57" s="159"/>
      <c r="I57" s="6"/>
    </row>
    <row r="58" spans="1:9" ht="11.25" thickBot="1" x14ac:dyDescent="0.2">
      <c r="A58" s="776" t="s">
        <v>1685</v>
      </c>
      <c r="B58" s="776"/>
      <c r="C58" s="777"/>
      <c r="D58" s="212">
        <f t="shared" ref="D58:I58" si="9">D49+D56</f>
        <v>0</v>
      </c>
      <c r="E58" s="212">
        <f t="shared" si="9"/>
        <v>0</v>
      </c>
      <c r="F58" s="212">
        <f t="shared" si="9"/>
        <v>0</v>
      </c>
      <c r="G58" s="212">
        <f t="shared" si="9"/>
        <v>0</v>
      </c>
      <c r="H58" s="212">
        <f t="shared" si="9"/>
        <v>0</v>
      </c>
      <c r="I58" s="212">
        <f t="shared" si="9"/>
        <v>0</v>
      </c>
    </row>
    <row r="59" spans="1:9" x14ac:dyDescent="0.15">
      <c r="A59" s="149"/>
      <c r="B59" s="158"/>
      <c r="C59" s="115" t="s">
        <v>725</v>
      </c>
      <c r="D59" s="159"/>
      <c r="E59" s="159"/>
      <c r="F59" s="159"/>
      <c r="G59" s="159"/>
      <c r="I59" s="6"/>
    </row>
    <row r="60" spans="1:9" ht="11.25" thickBot="1" x14ac:dyDescent="0.2">
      <c r="A60" s="149"/>
      <c r="B60" s="158"/>
      <c r="C60" s="115"/>
      <c r="D60" s="159"/>
      <c r="E60" s="159"/>
      <c r="F60" s="159"/>
      <c r="G60" s="159"/>
      <c r="I60" s="6"/>
    </row>
    <row r="61" spans="1:9" ht="12" thickTop="1" thickBot="1" x14ac:dyDescent="0.2">
      <c r="A61" s="158"/>
      <c r="B61" s="158"/>
      <c r="C61" s="172" t="s">
        <v>726</v>
      </c>
      <c r="D61" s="173">
        <f t="shared" ref="D61:I61" si="10">D15</f>
        <v>0</v>
      </c>
      <c r="E61" s="173">
        <f t="shared" si="10"/>
        <v>0</v>
      </c>
      <c r="F61" s="173">
        <f t="shared" si="10"/>
        <v>0</v>
      </c>
      <c r="G61" s="173">
        <f t="shared" si="10"/>
        <v>0</v>
      </c>
      <c r="H61" s="173">
        <f t="shared" si="10"/>
        <v>0</v>
      </c>
      <c r="I61" s="173">
        <f t="shared" si="10"/>
        <v>0</v>
      </c>
    </row>
    <row r="62" spans="1:9" ht="11.25" thickTop="1" x14ac:dyDescent="0.15">
      <c r="A62" s="158"/>
      <c r="B62" s="158"/>
      <c r="C62" s="158"/>
      <c r="D62" s="158"/>
      <c r="E62" s="158"/>
      <c r="F62" s="158"/>
      <c r="G62" s="158"/>
      <c r="I62" s="6"/>
    </row>
    <row r="63" spans="1:9" x14ac:dyDescent="0.15">
      <c r="A63" s="158"/>
      <c r="B63" s="158"/>
      <c r="C63" s="172" t="s">
        <v>727</v>
      </c>
      <c r="D63" s="158">
        <f t="shared" ref="D63:I63" si="11">D58-D61</f>
        <v>0</v>
      </c>
      <c r="E63" s="158">
        <f t="shared" si="11"/>
        <v>0</v>
      </c>
      <c r="F63" s="158">
        <f t="shared" si="11"/>
        <v>0</v>
      </c>
      <c r="G63" s="158">
        <f t="shared" si="11"/>
        <v>0</v>
      </c>
      <c r="H63" s="158">
        <f t="shared" si="11"/>
        <v>0</v>
      </c>
      <c r="I63" s="167">
        <f t="shared" si="11"/>
        <v>0</v>
      </c>
    </row>
    <row r="64" spans="1:9" x14ac:dyDescent="0.15">
      <c r="I64" s="6"/>
    </row>
  </sheetData>
  <sheetProtection formatCells="0" formatColumns="0" formatRows="0"/>
  <mergeCells count="1">
    <mergeCell ref="A58:C58"/>
  </mergeCells>
  <phoneticPr fontId="15" type="noConversion"/>
  <pageMargins left="0.5" right="0.5" top="0.75" bottom="0.75" header="0.5" footer="0.5"/>
  <pageSetup scale="64" firstPageNumber="47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workbookViewId="0">
      <selection activeCell="A7" sqref="A7"/>
    </sheetView>
  </sheetViews>
  <sheetFormatPr defaultColWidth="12" defaultRowHeight="10.5" x14ac:dyDescent="0.15"/>
  <sheetData>
    <row r="1" spans="1:1" x14ac:dyDescent="0.15">
      <c r="A1" s="18" t="s">
        <v>1486</v>
      </c>
    </row>
    <row r="2" spans="1:1" x14ac:dyDescent="0.15">
      <c r="A2" s="18" t="s">
        <v>655</v>
      </c>
    </row>
  </sheetData>
  <phoneticPr fontId="0" type="noConversion"/>
  <pageMargins left="0.75" right="0.75" top="1" bottom="1" header="0.5" footer="0.5"/>
  <pageSetup firstPageNumber="48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G32" sqref="G32"/>
    </sheetView>
  </sheetViews>
  <sheetFormatPr defaultColWidth="12" defaultRowHeight="10.5" x14ac:dyDescent="0.15"/>
  <cols>
    <col min="1" max="1" width="14" customWidth="1"/>
    <col min="2" max="2" width="74" customWidth="1"/>
    <col min="3" max="3" width="11.33203125" customWidth="1"/>
    <col min="4" max="4" width="15.83203125" customWidth="1"/>
    <col min="5" max="5" width="12" customWidth="1"/>
    <col min="6" max="6" width="15.83203125" customWidth="1"/>
    <col min="7" max="7" width="17" customWidth="1"/>
    <col min="8" max="9" width="15.83203125" customWidth="1"/>
  </cols>
  <sheetData>
    <row r="1" spans="1:9" x14ac:dyDescent="0.15">
      <c r="A1" t="s">
        <v>106</v>
      </c>
      <c r="B1">
        <f>+'Page 1 - FY2014-15'!B5</f>
        <v>0</v>
      </c>
      <c r="C1" t="s">
        <v>1586</v>
      </c>
      <c r="D1" s="107">
        <f>+'Page 1 - FY2014-15'!F7</f>
        <v>0</v>
      </c>
      <c r="E1" s="5"/>
      <c r="F1" s="5"/>
      <c r="G1" s="5"/>
      <c r="H1" s="5"/>
      <c r="I1" s="9"/>
    </row>
    <row r="2" spans="1:9" x14ac:dyDescent="0.15">
      <c r="A2" s="15" t="s">
        <v>743</v>
      </c>
      <c r="D2" s="5"/>
      <c r="E2" s="5"/>
      <c r="F2" s="5"/>
      <c r="G2" s="5"/>
      <c r="H2" s="5"/>
      <c r="I2" s="5"/>
    </row>
    <row r="3" spans="1:9" x14ac:dyDescent="0.15">
      <c r="B3" s="40" t="s">
        <v>639</v>
      </c>
      <c r="D3" s="5"/>
      <c r="E3" s="5"/>
      <c r="F3" s="5"/>
      <c r="G3" s="5"/>
      <c r="H3" s="5"/>
      <c r="I3" s="5"/>
    </row>
    <row r="4" spans="1:9" x14ac:dyDescent="0.15">
      <c r="B4" s="1" t="s">
        <v>744</v>
      </c>
      <c r="C4" s="6">
        <v>1</v>
      </c>
      <c r="D4" s="41">
        <v>0</v>
      </c>
      <c r="E4" s="5"/>
      <c r="F4" s="5"/>
      <c r="G4" s="5"/>
      <c r="H4" s="5"/>
      <c r="I4" s="5"/>
    </row>
    <row r="5" spans="1:9" x14ac:dyDescent="0.15">
      <c r="B5" s="1" t="s">
        <v>745</v>
      </c>
      <c r="C5" s="6">
        <v>2</v>
      </c>
      <c r="D5" s="41">
        <v>0</v>
      </c>
      <c r="E5" s="5"/>
      <c r="F5" s="5"/>
    </row>
    <row r="6" spans="1:9" x14ac:dyDescent="0.15">
      <c r="B6" s="1" t="s">
        <v>746</v>
      </c>
      <c r="C6" s="6">
        <v>3</v>
      </c>
      <c r="D6" s="41">
        <v>0</v>
      </c>
      <c r="E6" s="5"/>
      <c r="F6" s="8"/>
    </row>
    <row r="7" spans="1:9" ht="11.25" thickBot="1" x14ac:dyDescent="0.2">
      <c r="B7" s="2" t="s">
        <v>977</v>
      </c>
      <c r="C7" s="6">
        <v>4</v>
      </c>
      <c r="D7" s="41">
        <v>0</v>
      </c>
      <c r="E7" s="5"/>
      <c r="F7" s="8"/>
    </row>
    <row r="8" spans="1:9" ht="12" thickTop="1" thickBot="1" x14ac:dyDescent="0.2">
      <c r="B8" s="1" t="s">
        <v>747</v>
      </c>
      <c r="D8" s="5"/>
      <c r="E8" s="5">
        <v>5</v>
      </c>
      <c r="F8" s="42">
        <f>SUM(D4:D7)</f>
        <v>0</v>
      </c>
    </row>
    <row r="9" spans="1:9" ht="11.25" thickTop="1" x14ac:dyDescent="0.15">
      <c r="A9" s="20"/>
      <c r="B9" s="20"/>
      <c r="C9" s="20"/>
      <c r="D9" s="20"/>
      <c r="E9" s="20"/>
      <c r="F9" s="20"/>
      <c r="G9" s="20"/>
      <c r="H9" s="20"/>
      <c r="I9" s="20"/>
    </row>
    <row r="11" spans="1:9" ht="11.25" thickBot="1" x14ac:dyDescent="0.2">
      <c r="A11" s="15" t="s">
        <v>748</v>
      </c>
      <c r="G11" s="38" t="s">
        <v>1588</v>
      </c>
    </row>
    <row r="12" spans="1:9" ht="11.25" thickBot="1" x14ac:dyDescent="0.2">
      <c r="B12" s="35" t="s">
        <v>1589</v>
      </c>
      <c r="G12" s="5"/>
      <c r="H12" s="9" t="s">
        <v>1591</v>
      </c>
      <c r="I12" s="39">
        <v>0</v>
      </c>
    </row>
    <row r="13" spans="1:9" x14ac:dyDescent="0.15">
      <c r="B13" s="40" t="s">
        <v>196</v>
      </c>
      <c r="G13" s="5"/>
      <c r="H13" s="5"/>
      <c r="I13" s="5"/>
    </row>
    <row r="14" spans="1:9" x14ac:dyDescent="0.15">
      <c r="B14" s="40"/>
      <c r="G14" s="5"/>
      <c r="H14" s="5"/>
      <c r="I14" s="5"/>
    </row>
    <row r="15" spans="1:9" x14ac:dyDescent="0.15">
      <c r="B15" s="1" t="s">
        <v>749</v>
      </c>
      <c r="F15" s="6">
        <v>1</v>
      </c>
      <c r="G15" s="41">
        <v>0</v>
      </c>
      <c r="H15" s="5"/>
      <c r="I15" s="5"/>
    </row>
    <row r="16" spans="1:9" x14ac:dyDescent="0.15">
      <c r="B16" s="1" t="s">
        <v>750</v>
      </c>
      <c r="F16" s="6">
        <v>2</v>
      </c>
      <c r="G16" s="41">
        <v>0</v>
      </c>
      <c r="H16" s="5"/>
      <c r="I16" s="5"/>
    </row>
    <row r="17" spans="1:9" x14ac:dyDescent="0.15">
      <c r="B17" s="1" t="s">
        <v>752</v>
      </c>
      <c r="F17" s="6">
        <v>3</v>
      </c>
      <c r="G17" s="41">
        <v>0</v>
      </c>
      <c r="H17" s="5"/>
      <c r="I17" s="5"/>
    </row>
    <row r="18" spans="1:9" x14ac:dyDescent="0.15">
      <c r="B18" s="1" t="s">
        <v>753</v>
      </c>
      <c r="F18" s="6">
        <v>4</v>
      </c>
      <c r="G18" s="41">
        <v>0</v>
      </c>
    </row>
    <row r="19" spans="1:9" x14ac:dyDescent="0.15">
      <c r="B19" s="1" t="s">
        <v>147</v>
      </c>
      <c r="F19" s="226">
        <v>5</v>
      </c>
      <c r="G19" s="307">
        <v>0</v>
      </c>
    </row>
    <row r="20" spans="1:9" ht="11.25" thickBot="1" x14ac:dyDescent="0.2">
      <c r="B20" s="2" t="s">
        <v>896</v>
      </c>
      <c r="F20" s="6">
        <v>6</v>
      </c>
      <c r="G20" s="307">
        <v>0</v>
      </c>
      <c r="H20" s="5"/>
      <c r="I20" s="5"/>
    </row>
    <row r="21" spans="1:9" ht="12" thickTop="1" thickBot="1" x14ac:dyDescent="0.2">
      <c r="B21" s="1" t="s">
        <v>148</v>
      </c>
      <c r="G21" s="727">
        <v>7</v>
      </c>
      <c r="H21" s="42">
        <f>SUM(G15:G20)</f>
        <v>0</v>
      </c>
      <c r="I21" s="5"/>
    </row>
    <row r="22" spans="1:9" ht="12" thickTop="1" thickBot="1" x14ac:dyDescent="0.2">
      <c r="B22" s="1" t="s">
        <v>149</v>
      </c>
      <c r="G22" s="727"/>
      <c r="H22" s="5">
        <v>8</v>
      </c>
      <c r="I22" s="44">
        <f>I12+H21</f>
        <v>0</v>
      </c>
    </row>
    <row r="23" spans="1:9" x14ac:dyDescent="0.15">
      <c r="B23" s="1"/>
      <c r="G23" s="727"/>
      <c r="H23" s="5"/>
      <c r="I23" s="13"/>
    </row>
    <row r="24" spans="1:9" x14ac:dyDescent="0.15">
      <c r="A24" s="660" t="s">
        <v>824</v>
      </c>
      <c r="B24" s="495" t="s">
        <v>816</v>
      </c>
      <c r="F24" s="5"/>
      <c r="G24" s="289"/>
      <c r="H24" s="5"/>
      <c r="I24" s="13"/>
    </row>
    <row r="25" spans="1:9" x14ac:dyDescent="0.15">
      <c r="A25" s="436" t="s">
        <v>105</v>
      </c>
      <c r="B25" s="2" t="s">
        <v>827</v>
      </c>
      <c r="F25" s="7" t="s">
        <v>1438</v>
      </c>
      <c r="G25" s="307">
        <v>0</v>
      </c>
      <c r="H25" s="5"/>
      <c r="I25" s="13"/>
    </row>
    <row r="26" spans="1:9" x14ac:dyDescent="0.15">
      <c r="B26" s="1"/>
      <c r="G26" s="5"/>
      <c r="H26" s="5"/>
      <c r="I26" s="13"/>
    </row>
    <row r="27" spans="1:9" x14ac:dyDescent="0.15">
      <c r="B27" s="40" t="s">
        <v>754</v>
      </c>
      <c r="G27" s="5"/>
      <c r="H27" s="5"/>
    </row>
    <row r="28" spans="1:9" x14ac:dyDescent="0.15">
      <c r="B28" s="1" t="s">
        <v>150</v>
      </c>
      <c r="F28" s="6">
        <v>9</v>
      </c>
      <c r="G28" s="41">
        <v>0</v>
      </c>
      <c r="H28" s="5"/>
      <c r="I28" s="5"/>
    </row>
    <row r="29" spans="1:9" ht="11.25" thickBot="1" x14ac:dyDescent="0.2">
      <c r="B29" s="2"/>
      <c r="F29" s="6"/>
      <c r="G29" s="14"/>
      <c r="H29" s="5"/>
      <c r="I29" s="5"/>
    </row>
    <row r="30" spans="1:9" ht="12" thickTop="1" thickBot="1" x14ac:dyDescent="0.2">
      <c r="B30" s="1" t="s">
        <v>755</v>
      </c>
      <c r="G30" s="5">
        <v>10</v>
      </c>
      <c r="H30" s="42">
        <f>SUM(G25:G28)</f>
        <v>0</v>
      </c>
      <c r="I30" s="5"/>
    </row>
    <row r="31" spans="1:9" ht="11.25" thickTop="1" x14ac:dyDescent="0.15">
      <c r="B31" s="40" t="s">
        <v>392</v>
      </c>
      <c r="G31" s="5"/>
      <c r="H31" s="5"/>
      <c r="I31" s="5"/>
    </row>
    <row r="32" spans="1:9" ht="11.25" thickBot="1" x14ac:dyDescent="0.2">
      <c r="A32" s="106">
        <v>9100</v>
      </c>
      <c r="B32" s="1" t="s">
        <v>785</v>
      </c>
      <c r="F32" s="6">
        <v>11</v>
      </c>
      <c r="G32" s="41">
        <v>0</v>
      </c>
      <c r="H32" s="5"/>
      <c r="I32" s="5"/>
    </row>
    <row r="33" spans="1:9" ht="12" thickTop="1" thickBot="1" x14ac:dyDescent="0.2">
      <c r="A33" s="106"/>
      <c r="B33" s="1" t="s">
        <v>786</v>
      </c>
      <c r="G33" s="5">
        <v>12</v>
      </c>
      <c r="H33" s="42">
        <f>H30+G32</f>
        <v>0</v>
      </c>
      <c r="I33" s="5"/>
    </row>
    <row r="34" spans="1:9" ht="11.25" thickTop="1" x14ac:dyDescent="0.15">
      <c r="B34" s="1" t="s">
        <v>787</v>
      </c>
      <c r="I34" s="5"/>
    </row>
    <row r="35" spans="1:9" ht="11.25" thickBot="1" x14ac:dyDescent="0.2">
      <c r="A35" s="106">
        <v>9200</v>
      </c>
      <c r="B35" s="1" t="s">
        <v>788</v>
      </c>
      <c r="F35" s="6">
        <v>13</v>
      </c>
      <c r="G35" s="41">
        <v>0</v>
      </c>
      <c r="H35" s="5"/>
      <c r="I35" s="5"/>
    </row>
    <row r="36" spans="1:9" ht="11.25" thickBot="1" x14ac:dyDescent="0.2">
      <c r="B36" s="1" t="s">
        <v>789</v>
      </c>
      <c r="G36" s="5">
        <v>14</v>
      </c>
      <c r="H36" s="44">
        <f>H33+G35</f>
        <v>0</v>
      </c>
      <c r="I36" s="5"/>
    </row>
    <row r="37" spans="1:9" ht="12" thickTop="1" thickBot="1" x14ac:dyDescent="0.2">
      <c r="B37" s="1" t="s">
        <v>151</v>
      </c>
      <c r="G37" s="108" t="s">
        <v>152</v>
      </c>
      <c r="H37" s="124">
        <f>+I22</f>
        <v>0</v>
      </c>
      <c r="I37" s="5"/>
    </row>
    <row r="38" spans="1:9" ht="12" thickTop="1" thickBot="1" x14ac:dyDescent="0.2">
      <c r="G38" s="110" t="s">
        <v>393</v>
      </c>
      <c r="H38" s="111">
        <f>+H37-H36</f>
        <v>0</v>
      </c>
      <c r="I38" s="5"/>
    </row>
    <row r="39" spans="1:9" ht="11.25" thickTop="1" x14ac:dyDescent="0.15">
      <c r="B39" s="35"/>
    </row>
    <row r="40" spans="1:9" x14ac:dyDescent="0.15">
      <c r="A40" s="20"/>
      <c r="B40" s="20"/>
      <c r="C40" s="20"/>
      <c r="D40" s="20"/>
      <c r="E40" s="20"/>
      <c r="F40" s="20"/>
      <c r="G40" s="20"/>
      <c r="H40" s="20"/>
      <c r="I40" s="20"/>
    </row>
    <row r="42" spans="1:9" x14ac:dyDescent="0.15">
      <c r="A42" s="15" t="s">
        <v>790</v>
      </c>
    </row>
    <row r="43" spans="1:9" x14ac:dyDescent="0.15">
      <c r="B43" s="1" t="s">
        <v>639</v>
      </c>
    </row>
    <row r="44" spans="1:9" x14ac:dyDescent="0.15">
      <c r="B44" s="1" t="s">
        <v>791</v>
      </c>
      <c r="C44" s="6">
        <v>1</v>
      </c>
      <c r="D44" s="564">
        <f>GenFundExp2!I544+CharterFundExp2!I544</f>
        <v>0</v>
      </c>
      <c r="F44" s="1" t="s">
        <v>351</v>
      </c>
      <c r="I44" s="564">
        <f>BuildFund!I47</f>
        <v>0</v>
      </c>
    </row>
    <row r="45" spans="1:9" x14ac:dyDescent="0.15">
      <c r="B45" s="1" t="s">
        <v>336</v>
      </c>
      <c r="C45" s="7" t="s">
        <v>335</v>
      </c>
      <c r="D45" s="564">
        <f>InsResv!I43</f>
        <v>0</v>
      </c>
      <c r="F45" s="1" t="s">
        <v>363</v>
      </c>
      <c r="I45" s="564">
        <f>SpecBuild!I34</f>
        <v>0</v>
      </c>
    </row>
    <row r="46" spans="1:9" x14ac:dyDescent="0.15">
      <c r="B46" s="1" t="s">
        <v>337</v>
      </c>
      <c r="C46" s="7" t="s">
        <v>338</v>
      </c>
      <c r="D46" s="564">
        <f>'CPP Fund'!I121</f>
        <v>0</v>
      </c>
      <c r="F46" s="1" t="s">
        <v>353</v>
      </c>
      <c r="I46" s="564">
        <f>CapResCapPrj!I84</f>
        <v>0</v>
      </c>
    </row>
    <row r="47" spans="1:9" x14ac:dyDescent="0.15">
      <c r="B47" s="1" t="s">
        <v>340</v>
      </c>
      <c r="C47" s="6">
        <v>3</v>
      </c>
      <c r="D47" s="564">
        <f>CapRes!I75</f>
        <v>0</v>
      </c>
      <c r="F47" s="1" t="s">
        <v>354</v>
      </c>
      <c r="I47" s="564">
        <f>FoodServ!I51</f>
        <v>0</v>
      </c>
    </row>
    <row r="48" spans="1:9" x14ac:dyDescent="0.15">
      <c r="B48" s="1" t="s">
        <v>341</v>
      </c>
      <c r="C48" s="6">
        <v>4</v>
      </c>
      <c r="D48" s="564">
        <f>GovGrants!J175</f>
        <v>0</v>
      </c>
      <c r="F48" s="1" t="s">
        <v>355</v>
      </c>
      <c r="I48" s="564">
        <f>OtherEnterprise!I41</f>
        <v>0</v>
      </c>
    </row>
    <row r="49" spans="2:9" x14ac:dyDescent="0.15">
      <c r="B49" s="1" t="s">
        <v>342</v>
      </c>
      <c r="C49" s="6">
        <v>5</v>
      </c>
      <c r="D49" s="564">
        <f>PupActiv!I61</f>
        <v>0</v>
      </c>
      <c r="F49" s="1" t="s">
        <v>356</v>
      </c>
      <c r="I49" s="564">
        <f>RiskRelated!I39</f>
        <v>0</v>
      </c>
    </row>
    <row r="50" spans="2:9" x14ac:dyDescent="0.15">
      <c r="B50" s="1" t="s">
        <v>362</v>
      </c>
      <c r="C50" s="6">
        <v>6</v>
      </c>
      <c r="D50" s="564">
        <f>FullDayKOverride!I42</f>
        <v>0</v>
      </c>
      <c r="F50" s="1" t="s">
        <v>357</v>
      </c>
      <c r="I50" s="567">
        <f>OtherInternal!I43</f>
        <v>0</v>
      </c>
    </row>
    <row r="51" spans="2:9" x14ac:dyDescent="0.15">
      <c r="B51" s="1" t="s">
        <v>343</v>
      </c>
      <c r="C51" s="6">
        <v>7</v>
      </c>
      <c r="D51" s="564">
        <f>Transp!I41</f>
        <v>0</v>
      </c>
      <c r="F51" s="1" t="s">
        <v>364</v>
      </c>
      <c r="I51" s="642" t="s">
        <v>751</v>
      </c>
    </row>
    <row r="52" spans="2:9" x14ac:dyDescent="0.15">
      <c r="B52" s="1" t="s">
        <v>349</v>
      </c>
      <c r="C52" s="6">
        <v>8</v>
      </c>
      <c r="D52" s="564">
        <f>OthSpecRev!I63</f>
        <v>0</v>
      </c>
      <c r="F52" s="1" t="s">
        <v>365</v>
      </c>
      <c r="I52" s="642" t="s">
        <v>751</v>
      </c>
    </row>
    <row r="53" spans="2:9" ht="11.25" thickBot="1" x14ac:dyDescent="0.2">
      <c r="B53" s="1" t="s">
        <v>1673</v>
      </c>
      <c r="C53" s="6">
        <v>9</v>
      </c>
      <c r="D53" s="41" t="s">
        <v>751</v>
      </c>
      <c r="F53" s="1" t="s">
        <v>367</v>
      </c>
      <c r="I53" s="642" t="s">
        <v>368</v>
      </c>
    </row>
    <row r="54" spans="2:9" ht="12" thickTop="1" thickBot="1" x14ac:dyDescent="0.2">
      <c r="B54" s="1" t="s">
        <v>1674</v>
      </c>
      <c r="C54" s="6">
        <v>9</v>
      </c>
      <c r="D54" s="41" t="s">
        <v>368</v>
      </c>
      <c r="F54" s="1" t="s">
        <v>366</v>
      </c>
      <c r="I54" s="42">
        <f>SUM(D44:D53)+SUM(I44:I53)</f>
        <v>0</v>
      </c>
    </row>
    <row r="55" spans="2:9" ht="11.25" thickTop="1" x14ac:dyDescent="0.15">
      <c r="B55" s="1" t="s">
        <v>937</v>
      </c>
    </row>
  </sheetData>
  <sheetProtection formatCells="0" formatColumns="0" formatRows="0"/>
  <phoneticPr fontId="15" type="noConversion"/>
  <pageMargins left="0.75" right="0.75" top="1" bottom="1" header="0.5" footer="0.5"/>
  <pageSetup scale="78" firstPageNumber="50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workbookViewId="0">
      <selection activeCell="A7" sqref="A7"/>
    </sheetView>
  </sheetViews>
  <sheetFormatPr defaultColWidth="12" defaultRowHeight="10.5" x14ac:dyDescent="0.15"/>
  <sheetData>
    <row r="1" spans="1:1" x14ac:dyDescent="0.15">
      <c r="A1" s="18" t="s">
        <v>1487</v>
      </c>
    </row>
    <row r="2" spans="1:1" x14ac:dyDescent="0.15">
      <c r="A2" s="18" t="s">
        <v>654</v>
      </c>
    </row>
    <row r="3" spans="1:1" s="18" customFormat="1" x14ac:dyDescent="0.15">
      <c r="A3" s="18" t="s">
        <v>767</v>
      </c>
    </row>
    <row r="4" spans="1:1" s="18" customFormat="1" x14ac:dyDescent="0.15">
      <c r="A4" s="18" t="s">
        <v>768</v>
      </c>
    </row>
    <row r="5" spans="1:1" x14ac:dyDescent="0.15">
      <c r="A5" s="18" t="s">
        <v>653</v>
      </c>
    </row>
  </sheetData>
  <phoneticPr fontId="0" type="noConversion"/>
  <pageMargins left="0.75" right="0.75" top="1" bottom="1" header="0.5" footer="0.5"/>
  <pageSetup firstPageNumber="49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B43" sqref="B43"/>
    </sheetView>
  </sheetViews>
  <sheetFormatPr defaultColWidth="12" defaultRowHeight="10.5" x14ac:dyDescent="0.15"/>
  <cols>
    <col min="1" max="1" width="13.1640625" customWidth="1"/>
    <col min="2" max="2" width="74.83203125" customWidth="1"/>
    <col min="3" max="3" width="4.83203125" customWidth="1"/>
    <col min="4" max="4" width="11.6640625" customWidth="1"/>
    <col min="5" max="5" width="41.6640625" customWidth="1"/>
    <col min="6" max="6" width="12" customWidth="1"/>
    <col min="7" max="7" width="22.83203125" customWidth="1"/>
    <col min="8" max="8" width="12" customWidth="1"/>
    <col min="9" max="9" width="22.83203125" customWidth="1"/>
  </cols>
  <sheetData>
    <row r="1" spans="1:9" x14ac:dyDescent="0.15">
      <c r="A1" t="s">
        <v>106</v>
      </c>
      <c r="B1">
        <f>+'Page 1 - FY2014-15'!B5</f>
        <v>0</v>
      </c>
      <c r="D1" t="s">
        <v>1586</v>
      </c>
      <c r="E1" s="107">
        <f>+'Page 1 - FY2014-15'!F7</f>
        <v>0</v>
      </c>
      <c r="G1" s="12"/>
    </row>
    <row r="2" spans="1:9" x14ac:dyDescent="0.15">
      <c r="A2" s="15" t="s">
        <v>1576</v>
      </c>
      <c r="F2" s="38" t="s">
        <v>1588</v>
      </c>
    </row>
    <row r="4" spans="1:9" x14ac:dyDescent="0.15">
      <c r="A4" s="7" t="s">
        <v>419</v>
      </c>
      <c r="B4" s="1" t="s">
        <v>938</v>
      </c>
      <c r="C4" s="1"/>
      <c r="D4" s="1" t="s">
        <v>939</v>
      </c>
    </row>
    <row r="5" spans="1:9" x14ac:dyDescent="0.15">
      <c r="B5" s="1" t="s">
        <v>815</v>
      </c>
      <c r="C5" s="1"/>
      <c r="D5" s="2" t="s">
        <v>1474</v>
      </c>
    </row>
    <row r="6" spans="1:9" x14ac:dyDescent="0.15">
      <c r="B6" s="1" t="s">
        <v>864</v>
      </c>
      <c r="C6" s="1"/>
      <c r="D6" s="1" t="s">
        <v>865</v>
      </c>
    </row>
    <row r="7" spans="1:9" x14ac:dyDescent="0.15">
      <c r="B7" s="1" t="s">
        <v>943</v>
      </c>
      <c r="C7" s="1"/>
      <c r="D7" s="692" t="s">
        <v>1653</v>
      </c>
      <c r="E7" s="398"/>
      <c r="F7" s="398"/>
    </row>
    <row r="8" spans="1:9" x14ac:dyDescent="0.15">
      <c r="B8" s="1" t="s">
        <v>944</v>
      </c>
      <c r="C8" s="1"/>
      <c r="D8" s="1" t="s">
        <v>1708</v>
      </c>
      <c r="I8" s="18"/>
    </row>
    <row r="9" spans="1:9" x14ac:dyDescent="0.15">
      <c r="B9" s="1" t="s">
        <v>945</v>
      </c>
      <c r="C9" s="1"/>
      <c r="D9" s="1" t="s">
        <v>1652</v>
      </c>
      <c r="I9" s="49" t="s">
        <v>946</v>
      </c>
    </row>
    <row r="10" spans="1:9" x14ac:dyDescent="0.15">
      <c r="G10" s="35" t="s">
        <v>947</v>
      </c>
      <c r="I10" s="49" t="s">
        <v>948</v>
      </c>
    </row>
    <row r="11" spans="1:9" x14ac:dyDescent="0.15">
      <c r="D11" s="1" t="s">
        <v>639</v>
      </c>
      <c r="G11" s="35" t="s">
        <v>949</v>
      </c>
      <c r="I11" s="49" t="s">
        <v>392</v>
      </c>
    </row>
    <row r="12" spans="1:9" x14ac:dyDescent="0.15">
      <c r="A12" s="7" t="s">
        <v>420</v>
      </c>
      <c r="B12" s="1" t="s">
        <v>950</v>
      </c>
      <c r="C12" s="1"/>
      <c r="G12" s="6"/>
      <c r="I12" s="6"/>
    </row>
    <row r="13" spans="1:9" x14ac:dyDescent="0.15">
      <c r="B13" s="1" t="s">
        <v>1612</v>
      </c>
      <c r="C13" s="1"/>
      <c r="D13" s="108" t="s">
        <v>703</v>
      </c>
      <c r="F13" s="6">
        <v>1</v>
      </c>
      <c r="G13" s="133">
        <f>GenFundExp2!I552</f>
        <v>0</v>
      </c>
      <c r="H13" s="5"/>
      <c r="I13" s="133">
        <f>G13</f>
        <v>0</v>
      </c>
    </row>
    <row r="14" spans="1:9" x14ac:dyDescent="0.15">
      <c r="B14" s="1"/>
      <c r="C14" s="1"/>
      <c r="D14" s="108"/>
      <c r="E14" s="1" t="s">
        <v>1641</v>
      </c>
      <c r="F14" s="7" t="s">
        <v>782</v>
      </c>
      <c r="G14" s="133">
        <f>CharterFundExp2!I550</f>
        <v>0</v>
      </c>
      <c r="H14" s="5"/>
      <c r="I14" s="133">
        <f>G14</f>
        <v>0</v>
      </c>
    </row>
    <row r="15" spans="1:9" x14ac:dyDescent="0.15">
      <c r="B15" s="1"/>
      <c r="C15" s="1"/>
      <c r="E15" s="1" t="s">
        <v>1642</v>
      </c>
      <c r="F15" s="7" t="s">
        <v>1127</v>
      </c>
      <c r="G15" s="133">
        <f>InsResv!I49</f>
        <v>0</v>
      </c>
      <c r="H15" s="5"/>
      <c r="I15" s="133">
        <f>G15</f>
        <v>0</v>
      </c>
    </row>
    <row r="16" spans="1:9" x14ac:dyDescent="0.15">
      <c r="D16" s="1"/>
      <c r="E16" t="s">
        <v>1643</v>
      </c>
      <c r="F16" s="12" t="s">
        <v>1644</v>
      </c>
      <c r="G16" s="133">
        <f>'CPP Fund'!I127</f>
        <v>0</v>
      </c>
      <c r="H16" s="5"/>
      <c r="I16" s="133">
        <f>G16</f>
        <v>0</v>
      </c>
    </row>
    <row r="17" spans="2:9" x14ac:dyDescent="0.15">
      <c r="D17" s="1" t="s">
        <v>1611</v>
      </c>
      <c r="G17" s="128"/>
      <c r="H17" s="5"/>
      <c r="I17" s="128"/>
    </row>
    <row r="18" spans="2:9" hidden="1" x14ac:dyDescent="0.15">
      <c r="C18" s="1"/>
      <c r="E18" s="1" t="s">
        <v>339</v>
      </c>
      <c r="F18" s="7">
        <v>2</v>
      </c>
      <c r="G18" s="133">
        <f>ARRAGrants!J181</f>
        <v>0</v>
      </c>
      <c r="H18" s="5"/>
      <c r="I18" s="133">
        <f>G18</f>
        <v>0</v>
      </c>
    </row>
    <row r="19" spans="2:9" x14ac:dyDescent="0.15">
      <c r="B19" s="1" t="s">
        <v>951</v>
      </c>
      <c r="C19" s="1"/>
      <c r="E19" s="1" t="s">
        <v>340</v>
      </c>
      <c r="F19" s="6">
        <v>3</v>
      </c>
      <c r="G19" s="133">
        <f>CapRes!I81</f>
        <v>0</v>
      </c>
      <c r="H19" s="5"/>
      <c r="I19" s="133">
        <f t="shared" ref="I19:I25" si="0">G19</f>
        <v>0</v>
      </c>
    </row>
    <row r="20" spans="2:9" x14ac:dyDescent="0.15">
      <c r="B20" s="1" t="s">
        <v>952</v>
      </c>
      <c r="C20" s="1"/>
      <c r="E20" s="1" t="s">
        <v>341</v>
      </c>
      <c r="F20" s="6">
        <v>4</v>
      </c>
      <c r="G20" s="133">
        <f>GovGrants!J181</f>
        <v>0</v>
      </c>
      <c r="H20" s="5"/>
      <c r="I20" s="133">
        <f t="shared" si="0"/>
        <v>0</v>
      </c>
    </row>
    <row r="21" spans="2:9" s="289" customFormat="1" x14ac:dyDescent="0.15">
      <c r="B21" s="1" t="s">
        <v>570</v>
      </c>
      <c r="C21" s="392"/>
      <c r="E21" s="1" t="s">
        <v>342</v>
      </c>
      <c r="F21" s="6">
        <v>5</v>
      </c>
      <c r="G21" s="133">
        <f>PupActiv!I67</f>
        <v>0</v>
      </c>
      <c r="H21" s="5"/>
      <c r="I21" s="133">
        <f t="shared" si="0"/>
        <v>0</v>
      </c>
    </row>
    <row r="22" spans="2:9" x14ac:dyDescent="0.15">
      <c r="E22" s="1" t="s">
        <v>348</v>
      </c>
      <c r="F22" s="6">
        <v>6</v>
      </c>
      <c r="G22" s="133">
        <f>FullDayKOverride!I48</f>
        <v>0</v>
      </c>
      <c r="H22" s="5"/>
      <c r="I22" s="133">
        <f>G22</f>
        <v>0</v>
      </c>
    </row>
    <row r="23" spans="2:9" x14ac:dyDescent="0.15">
      <c r="E23" s="1" t="s">
        <v>343</v>
      </c>
      <c r="F23" s="6">
        <v>7</v>
      </c>
      <c r="G23" s="133">
        <f>Transp!I47</f>
        <v>0</v>
      </c>
      <c r="H23" s="5"/>
      <c r="I23" s="133">
        <f t="shared" si="0"/>
        <v>0</v>
      </c>
    </row>
    <row r="24" spans="2:9" x14ac:dyDescent="0.15">
      <c r="E24" s="1" t="s">
        <v>349</v>
      </c>
      <c r="F24" s="6">
        <v>8</v>
      </c>
      <c r="G24" s="133">
        <f>OthSpecRev!I69</f>
        <v>0</v>
      </c>
      <c r="H24" s="5"/>
      <c r="I24" s="133">
        <f t="shared" si="0"/>
        <v>0</v>
      </c>
    </row>
    <row r="25" spans="2:9" x14ac:dyDescent="0.15">
      <c r="D25" s="1" t="s">
        <v>350</v>
      </c>
      <c r="F25" s="6">
        <v>9</v>
      </c>
      <c r="G25" s="133">
        <f>BondRedm!I46</f>
        <v>0</v>
      </c>
      <c r="H25" s="5"/>
      <c r="I25" s="133">
        <f t="shared" si="0"/>
        <v>0</v>
      </c>
    </row>
    <row r="26" spans="2:9" x14ac:dyDescent="0.15">
      <c r="D26" s="1" t="s">
        <v>850</v>
      </c>
      <c r="G26" s="601"/>
      <c r="I26" s="601"/>
    </row>
    <row r="27" spans="2:9" x14ac:dyDescent="0.15">
      <c r="B27" s="22"/>
      <c r="C27" s="123"/>
      <c r="E27" s="1" t="s">
        <v>351</v>
      </c>
      <c r="F27" s="6">
        <v>10</v>
      </c>
      <c r="G27" s="133">
        <f>BuildFund!I53</f>
        <v>0</v>
      </c>
      <c r="H27" s="5"/>
      <c r="I27" s="133">
        <f>G27</f>
        <v>0</v>
      </c>
    </row>
    <row r="28" spans="2:9" x14ac:dyDescent="0.15">
      <c r="B28" s="1" t="s">
        <v>953</v>
      </c>
      <c r="C28" s="1"/>
      <c r="E28" s="1" t="s">
        <v>352</v>
      </c>
      <c r="F28" s="6">
        <v>11</v>
      </c>
      <c r="G28" s="133">
        <f>SpecBuild!I40</f>
        <v>0</v>
      </c>
      <c r="H28" s="5"/>
      <c r="I28" s="133">
        <f>G28</f>
        <v>0</v>
      </c>
    </row>
    <row r="29" spans="2:9" x14ac:dyDescent="0.15">
      <c r="E29" s="1" t="s">
        <v>353</v>
      </c>
      <c r="F29" s="6">
        <v>12</v>
      </c>
      <c r="G29" s="133">
        <f>CapResCapPrj!I90</f>
        <v>0</v>
      </c>
      <c r="H29" s="5"/>
      <c r="I29" s="133">
        <f>G29</f>
        <v>0</v>
      </c>
    </row>
    <row r="30" spans="2:9" x14ac:dyDescent="0.15">
      <c r="D30" s="1" t="s">
        <v>60</v>
      </c>
      <c r="G30" s="128"/>
      <c r="H30" s="5"/>
      <c r="I30" s="128"/>
    </row>
    <row r="31" spans="2:9" x14ac:dyDescent="0.15">
      <c r="E31" s="115" t="s">
        <v>354</v>
      </c>
      <c r="F31" s="167">
        <v>13</v>
      </c>
      <c r="G31" s="564">
        <f>FoodServ!I57</f>
        <v>0</v>
      </c>
      <c r="H31" s="200"/>
      <c r="I31" s="133">
        <f>G31</f>
        <v>0</v>
      </c>
    </row>
    <row r="32" spans="2:9" x14ac:dyDescent="0.15">
      <c r="B32" s="22"/>
      <c r="C32" s="123"/>
      <c r="E32" s="115" t="s">
        <v>355</v>
      </c>
      <c r="F32" s="167">
        <v>14</v>
      </c>
      <c r="G32" s="564">
        <f>OtherEnterprise!I47</f>
        <v>0</v>
      </c>
      <c r="H32" s="200"/>
      <c r="I32" s="133">
        <f>G32</f>
        <v>0</v>
      </c>
    </row>
    <row r="33" spans="1:9" x14ac:dyDescent="0.15">
      <c r="B33" s="1" t="s">
        <v>954</v>
      </c>
      <c r="C33" s="1"/>
      <c r="D33" s="1" t="s">
        <v>1609</v>
      </c>
      <c r="G33" s="601"/>
      <c r="I33" s="601"/>
    </row>
    <row r="34" spans="1:9" x14ac:dyDescent="0.15">
      <c r="E34" s="1" t="s">
        <v>356</v>
      </c>
      <c r="F34" s="6">
        <v>15</v>
      </c>
      <c r="G34" s="133">
        <f>RiskRelated!I45</f>
        <v>0</v>
      </c>
      <c r="H34" s="5"/>
      <c r="I34" s="133">
        <f>G34</f>
        <v>0</v>
      </c>
    </row>
    <row r="35" spans="1:9" x14ac:dyDescent="0.15">
      <c r="C35" s="792"/>
      <c r="E35" s="1" t="s">
        <v>357</v>
      </c>
      <c r="F35" s="6">
        <v>16</v>
      </c>
      <c r="G35" s="133">
        <f>OtherInternal!I49</f>
        <v>0</v>
      </c>
      <c r="H35" s="5"/>
      <c r="I35" s="133">
        <f>G35</f>
        <v>0</v>
      </c>
    </row>
    <row r="36" spans="1:9" ht="12.75" x14ac:dyDescent="0.2">
      <c r="A36" s="794"/>
      <c r="B36" s="795"/>
      <c r="C36" s="792"/>
      <c r="D36" s="1" t="s">
        <v>955</v>
      </c>
      <c r="G36" s="601"/>
      <c r="I36" s="601"/>
    </row>
    <row r="37" spans="1:9" ht="12.75" x14ac:dyDescent="0.2">
      <c r="A37" s="794"/>
      <c r="B37" s="796"/>
      <c r="C37" s="792"/>
      <c r="E37" s="1" t="s">
        <v>358</v>
      </c>
      <c r="F37" s="6">
        <v>17</v>
      </c>
      <c r="G37" s="133">
        <f>PupilActAgency!I59</f>
        <v>0</v>
      </c>
      <c r="H37" s="5"/>
      <c r="I37" s="133">
        <f>G37</f>
        <v>0</v>
      </c>
    </row>
    <row r="38" spans="1:9" x14ac:dyDescent="0.15">
      <c r="A38" s="794"/>
      <c r="B38" s="793" t="s">
        <v>1744</v>
      </c>
      <c r="C38" s="792"/>
      <c r="E38" s="1" t="s">
        <v>359</v>
      </c>
      <c r="F38" s="6">
        <v>18</v>
      </c>
      <c r="G38" s="133">
        <f>'Trust&amp;Agency'!I58</f>
        <v>0</v>
      </c>
      <c r="H38" s="5"/>
      <c r="I38" s="133">
        <f>G38</f>
        <v>0</v>
      </c>
    </row>
    <row r="39" spans="1:9" x14ac:dyDescent="0.15">
      <c r="C39" s="792"/>
      <c r="E39" s="1" t="s">
        <v>360</v>
      </c>
      <c r="F39" s="226">
        <v>19</v>
      </c>
      <c r="G39" s="133">
        <f>'Foundation Fund'!I58</f>
        <v>0</v>
      </c>
      <c r="H39" s="5"/>
      <c r="I39" s="133">
        <f>G39</f>
        <v>0</v>
      </c>
    </row>
    <row r="40" spans="1:9" x14ac:dyDescent="0.15">
      <c r="D40" s="1" t="s">
        <v>361</v>
      </c>
      <c r="F40" s="6">
        <v>20</v>
      </c>
      <c r="G40" s="133">
        <f>+Arbitrage!H33</f>
        <v>0</v>
      </c>
      <c r="I40" s="133">
        <f>G40</f>
        <v>0</v>
      </c>
    </row>
    <row r="41" spans="1:9" ht="11.25" thickBot="1" x14ac:dyDescent="0.2">
      <c r="G41" s="6"/>
      <c r="I41" s="6"/>
    </row>
    <row r="42" spans="1:9" ht="11.25" thickBot="1" x14ac:dyDescent="0.2">
      <c r="D42" s="1" t="s">
        <v>960</v>
      </c>
      <c r="F42" s="6">
        <v>21</v>
      </c>
      <c r="G42" s="44">
        <f>SUM(G13:G40)</f>
        <v>0</v>
      </c>
      <c r="H42" s="5"/>
      <c r="I42" s="44">
        <f>SUM(I13:I40)</f>
        <v>0</v>
      </c>
    </row>
    <row r="43" spans="1:9" x14ac:dyDescent="0.15">
      <c r="G43" s="6"/>
      <c r="I43" s="6"/>
    </row>
  </sheetData>
  <phoneticPr fontId="15" type="noConversion"/>
  <pageMargins left="0.75" right="0.75" top="1" bottom="1" header="0.5" footer="0.5"/>
  <pageSetup scale="73" firstPageNumber="51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E11" sqref="E11"/>
    </sheetView>
  </sheetViews>
  <sheetFormatPr defaultColWidth="12" defaultRowHeight="12.75" x14ac:dyDescent="0.2"/>
  <cols>
    <col min="1" max="1" width="4.83203125" style="730" customWidth="1"/>
    <col min="2" max="2" width="93.1640625" style="730" bestFit="1" customWidth="1"/>
    <col min="3" max="3" width="11.83203125" customWidth="1"/>
    <col min="4" max="4" width="7.33203125" style="730" customWidth="1"/>
    <col min="5" max="5" width="56.5" style="730" customWidth="1"/>
    <col min="6" max="6" width="5.33203125" style="730" customWidth="1"/>
    <col min="7" max="7" width="27.1640625" style="730" customWidth="1"/>
  </cols>
  <sheetData>
    <row r="1" spans="1:7" ht="13.5" thickBot="1" x14ac:dyDescent="0.25"/>
    <row r="2" spans="1:7" ht="15" x14ac:dyDescent="0.2">
      <c r="B2" s="742" t="s">
        <v>1745</v>
      </c>
      <c r="D2" s="784" t="s">
        <v>1710</v>
      </c>
      <c r="E2" s="785"/>
      <c r="F2" s="785"/>
      <c r="G2" s="786"/>
    </row>
    <row r="3" spans="1:7" x14ac:dyDescent="0.2">
      <c r="A3" s="731"/>
      <c r="D3" s="743"/>
      <c r="E3" s="735"/>
      <c r="F3" s="744"/>
      <c r="G3" s="745"/>
    </row>
    <row r="4" spans="1:7" x14ac:dyDescent="0.2">
      <c r="B4" s="730" t="s">
        <v>1746</v>
      </c>
      <c r="D4" s="787" t="s">
        <v>1711</v>
      </c>
      <c r="E4" s="788"/>
      <c r="F4" s="788"/>
      <c r="G4" s="789"/>
    </row>
    <row r="5" spans="1:7" x14ac:dyDescent="0.2">
      <c r="B5" s="730" t="s">
        <v>1747</v>
      </c>
      <c r="C5" s="1"/>
      <c r="D5" s="790"/>
      <c r="E5" s="788"/>
      <c r="F5" s="788"/>
      <c r="G5" s="789"/>
    </row>
    <row r="6" spans="1:7" x14ac:dyDescent="0.2">
      <c r="C6" s="1"/>
      <c r="D6" s="743"/>
      <c r="E6" s="735"/>
      <c r="F6" s="735"/>
      <c r="G6" s="745"/>
    </row>
    <row r="7" spans="1:7" x14ac:dyDescent="0.2">
      <c r="C7" s="1"/>
      <c r="D7" s="743"/>
      <c r="E7" s="735"/>
      <c r="F7" s="735"/>
      <c r="G7" s="745"/>
    </row>
    <row r="8" spans="1:7" x14ac:dyDescent="0.2">
      <c r="C8" s="1"/>
      <c r="D8" s="746"/>
      <c r="E8" s="735" t="s">
        <v>1716</v>
      </c>
      <c r="F8" s="735"/>
      <c r="G8" s="745"/>
    </row>
    <row r="9" spans="1:7" x14ac:dyDescent="0.2">
      <c r="C9" s="1"/>
      <c r="D9" s="743" t="s">
        <v>1718</v>
      </c>
      <c r="E9" s="735"/>
      <c r="F9" s="735"/>
      <c r="G9" s="745"/>
    </row>
    <row r="10" spans="1:7" x14ac:dyDescent="0.2">
      <c r="A10" s="732" t="s">
        <v>419</v>
      </c>
      <c r="B10" s="733" t="s">
        <v>1712</v>
      </c>
      <c r="C10" s="1"/>
      <c r="D10" s="743" t="s">
        <v>1748</v>
      </c>
      <c r="E10" s="735"/>
      <c r="F10" s="735"/>
      <c r="G10" s="745"/>
    </row>
    <row r="11" spans="1:7" x14ac:dyDescent="0.2">
      <c r="B11" s="733" t="s">
        <v>1713</v>
      </c>
      <c r="D11" s="743"/>
      <c r="E11" s="735"/>
      <c r="F11" s="735"/>
      <c r="G11" s="747"/>
    </row>
    <row r="12" spans="1:7" x14ac:dyDescent="0.2">
      <c r="B12" s="733" t="s">
        <v>1714</v>
      </c>
      <c r="D12" s="746"/>
      <c r="E12" s="735" t="s">
        <v>1722</v>
      </c>
      <c r="F12" s="735"/>
      <c r="G12" s="747"/>
    </row>
    <row r="13" spans="1:7" x14ac:dyDescent="0.2">
      <c r="B13" s="733" t="s">
        <v>1715</v>
      </c>
      <c r="C13" s="1"/>
      <c r="D13" s="743" t="s">
        <v>1724</v>
      </c>
      <c r="E13" s="735"/>
      <c r="F13" s="735"/>
      <c r="G13" s="748"/>
    </row>
    <row r="14" spans="1:7" x14ac:dyDescent="0.2">
      <c r="B14" s="733" t="s">
        <v>1717</v>
      </c>
      <c r="C14" s="1"/>
      <c r="D14" s="749" t="s">
        <v>1725</v>
      </c>
      <c r="E14" s="735"/>
      <c r="F14" s="736"/>
      <c r="G14" s="750"/>
    </row>
    <row r="15" spans="1:7" x14ac:dyDescent="0.2">
      <c r="B15" s="733" t="s">
        <v>1719</v>
      </c>
      <c r="C15" s="1"/>
      <c r="D15" s="749" t="s">
        <v>1749</v>
      </c>
      <c r="E15" s="734"/>
      <c r="F15" s="737"/>
      <c r="G15" s="750"/>
    </row>
    <row r="16" spans="1:7" x14ac:dyDescent="0.2">
      <c r="B16" s="730" t="s">
        <v>1720</v>
      </c>
      <c r="C16" s="1"/>
      <c r="D16" s="743"/>
      <c r="E16" s="734"/>
      <c r="F16" s="737"/>
      <c r="G16" s="750"/>
    </row>
    <row r="17" spans="1:7" x14ac:dyDescent="0.2">
      <c r="B17" s="730" t="s">
        <v>1721</v>
      </c>
      <c r="D17" s="746"/>
      <c r="E17" s="735" t="s">
        <v>1729</v>
      </c>
      <c r="F17" s="738"/>
      <c r="G17" s="750"/>
    </row>
    <row r="18" spans="1:7" x14ac:dyDescent="0.2">
      <c r="B18" s="733" t="s">
        <v>1723</v>
      </c>
      <c r="D18" s="746" t="s">
        <v>1731</v>
      </c>
      <c r="E18" s="735"/>
      <c r="F18" s="735"/>
      <c r="G18" s="750"/>
    </row>
    <row r="19" spans="1:7" hidden="1" x14ac:dyDescent="0.2">
      <c r="B19" s="733"/>
      <c r="C19" s="1"/>
      <c r="D19" s="743"/>
      <c r="E19" s="734"/>
      <c r="F19" s="737"/>
      <c r="G19" s="750"/>
    </row>
    <row r="20" spans="1:7" x14ac:dyDescent="0.2">
      <c r="A20" s="732" t="s">
        <v>420</v>
      </c>
      <c r="B20" s="730" t="s">
        <v>1726</v>
      </c>
      <c r="C20" s="1"/>
      <c r="D20" s="743" t="s">
        <v>1733</v>
      </c>
      <c r="E20" s="734"/>
      <c r="F20" s="736"/>
      <c r="G20" s="750"/>
    </row>
    <row r="21" spans="1:7" x14ac:dyDescent="0.2">
      <c r="B21" s="730" t="s">
        <v>1727</v>
      </c>
      <c r="C21" s="1"/>
      <c r="D21" s="743" t="s">
        <v>1734</v>
      </c>
      <c r="E21" s="734"/>
      <c r="F21" s="736"/>
      <c r="G21" s="750"/>
    </row>
    <row r="22" spans="1:7" s="289" customFormat="1" x14ac:dyDescent="0.2">
      <c r="A22" s="730"/>
      <c r="B22" s="730" t="s">
        <v>1728</v>
      </c>
      <c r="C22" s="392"/>
      <c r="D22" s="751"/>
      <c r="E22" s="734"/>
      <c r="F22" s="736"/>
      <c r="G22" s="750"/>
    </row>
    <row r="23" spans="1:7" x14ac:dyDescent="0.2">
      <c r="B23" s="730" t="s">
        <v>1730</v>
      </c>
      <c r="D23" s="743"/>
      <c r="E23" s="734" t="s">
        <v>1736</v>
      </c>
      <c r="F23" s="736"/>
      <c r="G23" s="750"/>
    </row>
    <row r="24" spans="1:7" x14ac:dyDescent="0.2">
      <c r="D24" s="743"/>
      <c r="E24" s="734"/>
      <c r="F24" s="736"/>
      <c r="G24" s="750"/>
    </row>
    <row r="25" spans="1:7" x14ac:dyDescent="0.2">
      <c r="B25" s="730" t="s">
        <v>1732</v>
      </c>
      <c r="D25" s="743"/>
      <c r="E25" s="734" t="s">
        <v>1739</v>
      </c>
      <c r="F25" s="736"/>
      <c r="G25" s="750"/>
    </row>
    <row r="26" spans="1:7" x14ac:dyDescent="0.2">
      <c r="D26" s="746" t="s">
        <v>1740</v>
      </c>
      <c r="E26" s="735"/>
      <c r="F26" s="736"/>
      <c r="G26" s="750"/>
    </row>
    <row r="27" spans="1:7" x14ac:dyDescent="0.2">
      <c r="A27" s="739"/>
      <c r="D27" s="746" t="s">
        <v>1750</v>
      </c>
      <c r="E27" s="735"/>
      <c r="F27" s="737"/>
      <c r="G27" s="750"/>
    </row>
    <row r="28" spans="1:7" x14ac:dyDescent="0.2">
      <c r="B28" s="733" t="s">
        <v>1735</v>
      </c>
      <c r="C28" s="123"/>
      <c r="D28" s="746"/>
      <c r="E28" s="735"/>
      <c r="F28" s="737"/>
      <c r="G28" s="750"/>
    </row>
    <row r="29" spans="1:7" x14ac:dyDescent="0.2">
      <c r="B29" s="733" t="s">
        <v>1737</v>
      </c>
      <c r="C29" s="1"/>
      <c r="D29" s="746"/>
      <c r="E29" s="735"/>
      <c r="F29" s="735"/>
      <c r="G29" s="752"/>
    </row>
    <row r="30" spans="1:7" x14ac:dyDescent="0.2">
      <c r="B30" s="733" t="s">
        <v>1738</v>
      </c>
      <c r="D30" s="743"/>
      <c r="E30" s="734" t="s">
        <v>1751</v>
      </c>
      <c r="F30" s="736"/>
      <c r="G30" s="750"/>
    </row>
    <row r="31" spans="1:7" x14ac:dyDescent="0.2">
      <c r="D31" s="743" t="s">
        <v>1741</v>
      </c>
      <c r="E31" s="734"/>
      <c r="F31" s="736"/>
      <c r="G31" s="750"/>
    </row>
    <row r="32" spans="1:7" x14ac:dyDescent="0.2">
      <c r="D32" s="743"/>
      <c r="E32" s="734"/>
      <c r="F32" s="736"/>
      <c r="G32" s="750"/>
    </row>
    <row r="33" spans="3:7" x14ac:dyDescent="0.2">
      <c r="C33" s="123"/>
      <c r="D33" s="746"/>
      <c r="E33" s="735" t="s">
        <v>1742</v>
      </c>
      <c r="F33" s="735"/>
      <c r="G33" s="750"/>
    </row>
    <row r="34" spans="3:7" x14ac:dyDescent="0.2">
      <c r="C34" s="1"/>
      <c r="D34" s="743"/>
      <c r="E34" s="734"/>
      <c r="F34" s="736"/>
      <c r="G34" s="753"/>
    </row>
    <row r="35" spans="3:7" x14ac:dyDescent="0.2">
      <c r="D35" s="743" t="s">
        <v>1743</v>
      </c>
      <c r="E35" s="734"/>
      <c r="F35" s="736"/>
      <c r="G35" s="753"/>
    </row>
    <row r="36" spans="3:7" x14ac:dyDescent="0.2">
      <c r="D36" s="746"/>
      <c r="E36" s="735"/>
      <c r="F36" s="735"/>
      <c r="G36" s="752"/>
    </row>
    <row r="37" spans="3:7" x14ac:dyDescent="0.2">
      <c r="D37" s="743"/>
      <c r="E37" s="734"/>
      <c r="F37" s="736"/>
      <c r="G37" s="750"/>
    </row>
    <row r="38" spans="3:7" x14ac:dyDescent="0.2">
      <c r="D38" s="754"/>
      <c r="E38" s="740"/>
      <c r="F38" s="740"/>
      <c r="G38" s="755"/>
    </row>
    <row r="39" spans="3:7" x14ac:dyDescent="0.2">
      <c r="D39" s="743"/>
      <c r="E39" s="735"/>
      <c r="F39" s="735"/>
      <c r="G39" s="745"/>
    </row>
    <row r="40" spans="3:7" x14ac:dyDescent="0.2">
      <c r="D40" s="746" t="s">
        <v>953</v>
      </c>
      <c r="E40" s="735"/>
      <c r="F40" s="735"/>
      <c r="G40" s="745"/>
    </row>
    <row r="41" spans="3:7" x14ac:dyDescent="0.2">
      <c r="D41" s="743"/>
      <c r="E41" s="735"/>
      <c r="F41" s="735"/>
      <c r="G41" s="745"/>
    </row>
    <row r="42" spans="3:7" x14ac:dyDescent="0.2">
      <c r="D42" s="743"/>
      <c r="E42" s="735"/>
      <c r="F42" s="735"/>
      <c r="G42" s="745"/>
    </row>
    <row r="43" spans="3:7" x14ac:dyDescent="0.2">
      <c r="D43" s="743"/>
      <c r="E43" s="735"/>
      <c r="F43" s="735"/>
      <c r="G43" s="745"/>
    </row>
    <row r="44" spans="3:7" x14ac:dyDescent="0.2">
      <c r="D44" s="754"/>
      <c r="E44" s="735"/>
      <c r="F44" s="735"/>
      <c r="G44" s="745"/>
    </row>
    <row r="45" spans="3:7" x14ac:dyDescent="0.2">
      <c r="D45" s="743"/>
      <c r="E45" s="741"/>
      <c r="F45" s="735"/>
      <c r="G45" s="745"/>
    </row>
    <row r="46" spans="3:7" x14ac:dyDescent="0.2">
      <c r="D46" s="746" t="s">
        <v>1744</v>
      </c>
      <c r="E46" s="735"/>
      <c r="F46" s="735"/>
      <c r="G46" s="748"/>
    </row>
    <row r="47" spans="3:7" x14ac:dyDescent="0.2">
      <c r="D47" s="743"/>
      <c r="E47" s="735"/>
      <c r="F47" s="735"/>
      <c r="G47" s="748"/>
    </row>
    <row r="48" spans="3:7" ht="13.5" thickBot="1" x14ac:dyDescent="0.25">
      <c r="D48" s="756"/>
      <c r="E48" s="757"/>
      <c r="F48" s="757"/>
      <c r="G48" s="758"/>
    </row>
  </sheetData>
  <mergeCells count="2">
    <mergeCell ref="D2:G2"/>
    <mergeCell ref="D4:G5"/>
  </mergeCells>
  <printOptions horizontalCentered="1"/>
  <pageMargins left="0.7" right="0.7" top="0.75" bottom="0.75" header="0.3" footer="0.3"/>
  <pageSetup fitToWidth="2" orientation="portrait" r:id="rId1"/>
  <colBreaks count="1" manualBreakCount="1">
    <brk id="2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B31" sqref="B31"/>
    </sheetView>
  </sheetViews>
  <sheetFormatPr defaultColWidth="12" defaultRowHeight="12.75" x14ac:dyDescent="0.2"/>
  <cols>
    <col min="1" max="1" width="4.83203125" style="730" customWidth="1"/>
    <col min="2" max="2" width="90.33203125" style="730" bestFit="1" customWidth="1"/>
    <col min="3" max="3" width="16.5" customWidth="1"/>
    <col min="4" max="4" width="7.33203125" style="730" customWidth="1"/>
    <col min="5" max="5" width="56.5" style="730" customWidth="1"/>
    <col min="6" max="6" width="5.33203125" style="730" customWidth="1"/>
    <col min="7" max="7" width="27.1640625" style="730" customWidth="1"/>
  </cols>
  <sheetData>
    <row r="1" spans="1:7" ht="13.5" thickBot="1" x14ac:dyDescent="0.25"/>
    <row r="2" spans="1:7" x14ac:dyDescent="0.2">
      <c r="A2" s="731"/>
      <c r="B2" s="742" t="s">
        <v>1752</v>
      </c>
      <c r="D2" s="762"/>
      <c r="E2" s="763"/>
      <c r="F2" s="763"/>
      <c r="G2" s="764"/>
    </row>
    <row r="3" spans="1:7" x14ac:dyDescent="0.2">
      <c r="D3" s="743" t="s">
        <v>1753</v>
      </c>
      <c r="E3" s="735"/>
      <c r="F3" s="735"/>
      <c r="G3" s="745"/>
    </row>
    <row r="4" spans="1:7" x14ac:dyDescent="0.2">
      <c r="B4" s="730" t="s">
        <v>1746</v>
      </c>
      <c r="C4" s="1"/>
      <c r="D4" s="743"/>
      <c r="E4" s="735"/>
      <c r="F4" s="735"/>
      <c r="G4" s="745"/>
    </row>
    <row r="5" spans="1:7" x14ac:dyDescent="0.2">
      <c r="B5" s="730" t="s">
        <v>1747</v>
      </c>
      <c r="C5" s="1"/>
      <c r="D5" s="787" t="s">
        <v>1754</v>
      </c>
      <c r="E5" s="788"/>
      <c r="F5" s="788"/>
      <c r="G5" s="789"/>
    </row>
    <row r="6" spans="1:7" x14ac:dyDescent="0.2">
      <c r="C6" s="1"/>
      <c r="D6" s="790"/>
      <c r="E6" s="788"/>
      <c r="F6" s="788"/>
      <c r="G6" s="789"/>
    </row>
    <row r="7" spans="1:7" x14ac:dyDescent="0.2">
      <c r="C7" s="1"/>
      <c r="D7" s="743"/>
      <c r="E7" s="735"/>
      <c r="F7" s="735"/>
      <c r="G7" s="745"/>
    </row>
    <row r="8" spans="1:7" x14ac:dyDescent="0.2">
      <c r="C8" s="1"/>
      <c r="D8" s="743" t="s">
        <v>1755</v>
      </c>
      <c r="E8" s="735"/>
      <c r="F8" s="735"/>
      <c r="G8" s="745"/>
    </row>
    <row r="9" spans="1:7" x14ac:dyDescent="0.2">
      <c r="A9" s="732" t="s">
        <v>419</v>
      </c>
      <c r="B9" s="733" t="s">
        <v>1756</v>
      </c>
      <c r="C9" s="1"/>
      <c r="D9" s="743"/>
      <c r="E9" s="735"/>
      <c r="F9" s="735"/>
      <c r="G9" s="765" t="s">
        <v>26</v>
      </c>
    </row>
    <row r="10" spans="1:7" x14ac:dyDescent="0.2">
      <c r="B10" s="733" t="s">
        <v>1757</v>
      </c>
      <c r="D10" s="743" t="s">
        <v>1758</v>
      </c>
      <c r="E10" s="735"/>
      <c r="F10" s="735"/>
      <c r="G10" s="745"/>
    </row>
    <row r="11" spans="1:7" x14ac:dyDescent="0.2">
      <c r="B11" s="733" t="s">
        <v>1759</v>
      </c>
      <c r="D11" s="743"/>
      <c r="E11" s="735" t="s">
        <v>1760</v>
      </c>
      <c r="F11" s="735"/>
      <c r="G11" s="745"/>
    </row>
    <row r="12" spans="1:7" x14ac:dyDescent="0.2">
      <c r="B12" s="733" t="s">
        <v>1761</v>
      </c>
      <c r="C12" s="1"/>
      <c r="D12" s="743"/>
      <c r="E12" s="735" t="s">
        <v>1762</v>
      </c>
      <c r="F12" s="735"/>
      <c r="G12" s="745"/>
    </row>
    <row r="13" spans="1:7" x14ac:dyDescent="0.2">
      <c r="B13" s="733" t="s">
        <v>1763</v>
      </c>
      <c r="C13" s="1"/>
      <c r="D13" s="743"/>
      <c r="E13" s="735" t="s">
        <v>1764</v>
      </c>
      <c r="F13" s="735"/>
      <c r="G13" s="755"/>
    </row>
    <row r="14" spans="1:7" x14ac:dyDescent="0.2">
      <c r="B14" s="733"/>
      <c r="C14" s="1"/>
      <c r="D14" s="743"/>
      <c r="E14" s="735"/>
      <c r="F14" s="735"/>
      <c r="G14" s="745"/>
    </row>
    <row r="15" spans="1:7" ht="13.5" thickBot="1" x14ac:dyDescent="0.25">
      <c r="A15" s="732">
        <v>-2</v>
      </c>
      <c r="B15" s="730" t="s">
        <v>1765</v>
      </c>
      <c r="C15" s="1"/>
      <c r="D15" s="743" t="s">
        <v>1766</v>
      </c>
      <c r="E15" s="735"/>
      <c r="F15" s="735"/>
      <c r="G15" s="766"/>
    </row>
    <row r="16" spans="1:7" ht="13.5" thickTop="1" x14ac:dyDescent="0.2">
      <c r="B16" s="730" t="s">
        <v>1767</v>
      </c>
      <c r="D16" s="743"/>
      <c r="E16" s="735"/>
      <c r="F16" s="735"/>
      <c r="G16" s="745"/>
    </row>
    <row r="17" spans="1:7" x14ac:dyDescent="0.2">
      <c r="D17" s="743" t="s">
        <v>1768</v>
      </c>
      <c r="E17" s="735"/>
      <c r="F17" s="735"/>
      <c r="G17" s="745"/>
    </row>
    <row r="18" spans="1:7" hidden="1" x14ac:dyDescent="0.2">
      <c r="A18" s="732">
        <v>-3</v>
      </c>
      <c r="B18" s="733" t="s">
        <v>1769</v>
      </c>
      <c r="C18" s="1"/>
      <c r="D18" s="743"/>
      <c r="E18" s="735"/>
      <c r="F18" s="735"/>
      <c r="G18" s="745"/>
    </row>
    <row r="19" spans="1:7" x14ac:dyDescent="0.2">
      <c r="A19" s="732"/>
      <c r="B19" s="730" t="s">
        <v>1770</v>
      </c>
      <c r="C19" s="1"/>
      <c r="D19" s="743"/>
      <c r="E19" s="735"/>
      <c r="F19" s="735"/>
      <c r="G19" s="745"/>
    </row>
    <row r="20" spans="1:7" x14ac:dyDescent="0.2">
      <c r="B20" s="730" t="s">
        <v>1771</v>
      </c>
      <c r="C20" s="1"/>
      <c r="D20" s="743" t="s">
        <v>1772</v>
      </c>
      <c r="E20" s="735"/>
      <c r="F20" s="735"/>
      <c r="G20" s="745"/>
    </row>
    <row r="21" spans="1:7" s="289" customFormat="1" x14ac:dyDescent="0.2">
      <c r="A21" s="730"/>
      <c r="B21" s="730"/>
      <c r="C21" s="392"/>
      <c r="D21" s="767"/>
      <c r="E21" s="290" t="s">
        <v>1773</v>
      </c>
      <c r="F21" s="290"/>
      <c r="G21" s="768"/>
    </row>
    <row r="22" spans="1:7" x14ac:dyDescent="0.2">
      <c r="A22" s="732">
        <v>-4</v>
      </c>
      <c r="B22" s="730" t="s">
        <v>1774</v>
      </c>
      <c r="D22" s="743"/>
      <c r="E22" s="735" t="s">
        <v>1775</v>
      </c>
      <c r="F22" s="735"/>
      <c r="G22" s="745"/>
    </row>
    <row r="23" spans="1:7" x14ac:dyDescent="0.2">
      <c r="D23" s="743"/>
      <c r="E23" s="735" t="s">
        <v>1776</v>
      </c>
      <c r="F23" s="735"/>
      <c r="G23" s="745"/>
    </row>
    <row r="24" spans="1:7" x14ac:dyDescent="0.2">
      <c r="B24" s="730" t="s">
        <v>1777</v>
      </c>
      <c r="D24" s="743"/>
      <c r="E24" s="735" t="s">
        <v>156</v>
      </c>
      <c r="F24" s="735"/>
      <c r="G24" s="755"/>
    </row>
    <row r="25" spans="1:7" x14ac:dyDescent="0.2">
      <c r="B25" s="730" t="s">
        <v>1778</v>
      </c>
      <c r="D25" s="743"/>
      <c r="E25" s="735"/>
      <c r="F25" s="735"/>
      <c r="G25" s="745"/>
    </row>
    <row r="26" spans="1:7" ht="13.5" thickBot="1" x14ac:dyDescent="0.25">
      <c r="A26" s="739"/>
      <c r="B26" s="730" t="s">
        <v>1779</v>
      </c>
      <c r="D26" s="743" t="s">
        <v>1780</v>
      </c>
      <c r="E26" s="735"/>
      <c r="F26" s="735"/>
      <c r="G26" s="766"/>
    </row>
    <row r="27" spans="1:7" ht="13.5" thickTop="1" x14ac:dyDescent="0.2">
      <c r="C27" s="123"/>
      <c r="D27" s="743"/>
      <c r="E27" s="735"/>
      <c r="F27" s="735"/>
      <c r="G27" s="745"/>
    </row>
    <row r="28" spans="1:7" x14ac:dyDescent="0.2">
      <c r="C28" s="1"/>
      <c r="D28" s="743"/>
      <c r="E28" s="735"/>
      <c r="F28" s="735"/>
      <c r="G28" s="745"/>
    </row>
    <row r="29" spans="1:7" x14ac:dyDescent="0.2">
      <c r="B29" s="733" t="s">
        <v>1781</v>
      </c>
      <c r="D29" s="791" t="s">
        <v>1710</v>
      </c>
      <c r="E29" s="788"/>
      <c r="F29" s="788"/>
      <c r="G29" s="789"/>
    </row>
    <row r="30" spans="1:7" x14ac:dyDescent="0.2">
      <c r="B30" s="733" t="s">
        <v>1735</v>
      </c>
      <c r="D30" s="743"/>
      <c r="E30" s="735"/>
      <c r="F30" s="744"/>
      <c r="G30" s="745"/>
    </row>
    <row r="31" spans="1:7" ht="27.75" customHeight="1" x14ac:dyDescent="0.2">
      <c r="D31" s="787" t="s">
        <v>1782</v>
      </c>
      <c r="E31" s="788"/>
      <c r="F31" s="788"/>
      <c r="G31" s="789"/>
    </row>
    <row r="32" spans="1:7" x14ac:dyDescent="0.2">
      <c r="C32" s="123"/>
      <c r="D32" s="761"/>
      <c r="E32" s="759"/>
      <c r="F32" s="759"/>
      <c r="G32" s="760"/>
    </row>
    <row r="33" spans="4:7" x14ac:dyDescent="0.2">
      <c r="D33" s="746"/>
      <c r="E33" s="735"/>
      <c r="F33" s="735"/>
      <c r="G33" s="752"/>
    </row>
    <row r="34" spans="4:7" x14ac:dyDescent="0.2">
      <c r="D34" s="743"/>
      <c r="E34" s="734" t="s">
        <v>1785</v>
      </c>
      <c r="F34" s="736"/>
      <c r="G34" s="752"/>
    </row>
    <row r="35" spans="4:7" x14ac:dyDescent="0.2">
      <c r="D35" s="743" t="s">
        <v>1783</v>
      </c>
      <c r="E35" s="734"/>
      <c r="F35" s="736"/>
      <c r="G35" s="750"/>
    </row>
    <row r="36" spans="4:7" x14ac:dyDescent="0.2">
      <c r="D36" s="743" t="s">
        <v>1784</v>
      </c>
      <c r="E36" s="734"/>
      <c r="F36" s="736"/>
      <c r="G36" s="750"/>
    </row>
    <row r="37" spans="4:7" x14ac:dyDescent="0.2">
      <c r="D37" s="743"/>
      <c r="E37" s="734"/>
      <c r="F37" s="736"/>
      <c r="G37" s="750"/>
    </row>
    <row r="38" spans="4:7" x14ac:dyDescent="0.2">
      <c r="D38" s="746"/>
      <c r="E38" s="735" t="s">
        <v>1742</v>
      </c>
      <c r="F38" s="735"/>
      <c r="G38" s="750"/>
    </row>
    <row r="39" spans="4:7" x14ac:dyDescent="0.2">
      <c r="D39" s="743"/>
      <c r="E39" s="734"/>
      <c r="F39" s="736"/>
      <c r="G39" s="753"/>
    </row>
    <row r="40" spans="4:7" x14ac:dyDescent="0.2">
      <c r="D40" s="743" t="s">
        <v>1743</v>
      </c>
      <c r="E40" s="734"/>
      <c r="F40" s="736"/>
      <c r="G40" s="753"/>
    </row>
    <row r="41" spans="4:7" x14ac:dyDescent="0.2">
      <c r="D41" s="746"/>
      <c r="E41" s="735"/>
      <c r="F41" s="735"/>
      <c r="G41" s="752"/>
    </row>
    <row r="42" spans="4:7" x14ac:dyDescent="0.2">
      <c r="D42" s="743"/>
      <c r="E42" s="734"/>
      <c r="F42" s="736"/>
      <c r="G42" s="750"/>
    </row>
    <row r="43" spans="4:7" x14ac:dyDescent="0.2">
      <c r="D43" s="754"/>
      <c r="E43" s="740"/>
      <c r="F43" s="735"/>
      <c r="G43" s="745"/>
    </row>
    <row r="44" spans="4:7" x14ac:dyDescent="0.2">
      <c r="D44" s="743"/>
      <c r="E44" s="735"/>
      <c r="F44" s="735"/>
      <c r="G44" s="745"/>
    </row>
    <row r="45" spans="4:7" x14ac:dyDescent="0.2">
      <c r="D45" s="746" t="s">
        <v>953</v>
      </c>
      <c r="E45" s="735"/>
      <c r="F45" s="735"/>
      <c r="G45" s="745"/>
    </row>
    <row r="46" spans="4:7" x14ac:dyDescent="0.2">
      <c r="D46" s="743"/>
      <c r="E46" s="735"/>
      <c r="F46" s="735"/>
      <c r="G46" s="745"/>
    </row>
    <row r="47" spans="4:7" x14ac:dyDescent="0.2">
      <c r="D47" s="743"/>
      <c r="E47" s="735"/>
      <c r="F47" s="735"/>
      <c r="G47" s="745"/>
    </row>
    <row r="48" spans="4:7" x14ac:dyDescent="0.2">
      <c r="D48" s="743"/>
      <c r="E48" s="735"/>
      <c r="F48" s="735"/>
      <c r="G48" s="745"/>
    </row>
    <row r="49" spans="4:7" customFormat="1" x14ac:dyDescent="0.2">
      <c r="D49" s="754"/>
      <c r="E49" s="735"/>
      <c r="F49" s="735"/>
      <c r="G49" s="745"/>
    </row>
    <row r="50" spans="4:7" customFormat="1" x14ac:dyDescent="0.2">
      <c r="D50" s="743"/>
      <c r="E50" s="741"/>
      <c r="F50" s="735"/>
      <c r="G50" s="745"/>
    </row>
    <row r="51" spans="4:7" customFormat="1" x14ac:dyDescent="0.2">
      <c r="D51" s="746" t="s">
        <v>1744</v>
      </c>
      <c r="E51" s="735"/>
      <c r="F51" s="735"/>
      <c r="G51" s="748"/>
    </row>
    <row r="52" spans="4:7" customFormat="1" ht="13.5" thickBot="1" x14ac:dyDescent="0.25">
      <c r="D52" s="756"/>
      <c r="E52" s="757"/>
      <c r="F52" s="757"/>
      <c r="G52" s="769"/>
    </row>
  </sheetData>
  <mergeCells count="3">
    <mergeCell ref="D29:G29"/>
    <mergeCell ref="D31:G31"/>
    <mergeCell ref="D5:G6"/>
  </mergeCells>
  <printOptions horizontalCentered="1"/>
  <pageMargins left="0.7" right="0.7" top="0.75" bottom="0.75" header="0.3" footer="0.3"/>
  <pageSetup fitToWidth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H179"/>
  <sheetViews>
    <sheetView topLeftCell="A65" workbookViewId="0">
      <selection activeCell="C127" sqref="C127"/>
    </sheetView>
  </sheetViews>
  <sheetFormatPr defaultColWidth="12" defaultRowHeight="10.5" x14ac:dyDescent="0.15"/>
  <cols>
    <col min="1" max="1" width="79.33203125" customWidth="1"/>
    <col min="2" max="2" width="19" hidden="1" customWidth="1"/>
    <col min="3" max="3" width="22.83203125" customWidth="1"/>
    <col min="4" max="4" width="58.33203125" customWidth="1"/>
    <col min="5" max="5" width="22.83203125" customWidth="1"/>
    <col min="6" max="6" width="12" customWidth="1"/>
    <col min="7" max="7" width="22.6640625" customWidth="1"/>
  </cols>
  <sheetData>
    <row r="1" spans="1:4" x14ac:dyDescent="0.15">
      <c r="A1" s="35" t="s">
        <v>961</v>
      </c>
    </row>
    <row r="3" spans="1:4" ht="12.75" x14ac:dyDescent="0.2">
      <c r="A3" s="116" t="s">
        <v>1032</v>
      </c>
    </row>
    <row r="4" spans="1:4" ht="12.75" x14ac:dyDescent="0.2">
      <c r="A4" s="117" t="s">
        <v>922</v>
      </c>
    </row>
    <row r="5" spans="1:4" x14ac:dyDescent="0.15">
      <c r="A5" s="15"/>
    </row>
    <row r="6" spans="1:4" x14ac:dyDescent="0.15">
      <c r="A6" s="1" t="s">
        <v>421</v>
      </c>
      <c r="C6" s="643" t="str">
        <f>IF(GenFundExp2!I562=0,"ALL IS OK","ERROR YOU MUST FIX")</f>
        <v>ALL IS OK</v>
      </c>
      <c r="D6" t="s">
        <v>1057</v>
      </c>
    </row>
    <row r="7" spans="1:4" x14ac:dyDescent="0.15">
      <c r="A7" s="1" t="s">
        <v>1634</v>
      </c>
      <c r="C7" s="643" t="str">
        <f>IF(CharterFundExp2!I560=0,"ALL IS OK","ERROR YOU MUST FIX")</f>
        <v>ALL IS OK</v>
      </c>
    </row>
    <row r="8" spans="1:4" x14ac:dyDescent="0.15">
      <c r="A8" s="1" t="s">
        <v>1125</v>
      </c>
      <c r="C8" s="142" t="str">
        <f>IF(InsResv!I54=0,"ALL IS OK","ERROR YOU MUST FIX")</f>
        <v>ALL IS OK</v>
      </c>
    </row>
    <row r="9" spans="1:4" x14ac:dyDescent="0.15">
      <c r="A9" s="1" t="s">
        <v>1488</v>
      </c>
      <c r="C9" s="142" t="str">
        <f>IF('CPP Fund'!I132=0,"ALL IS OK", "ERROR YOU MUST FIX")</f>
        <v>ALL IS OK</v>
      </c>
    </row>
    <row r="10" spans="1:4" hidden="1" x14ac:dyDescent="0.15">
      <c r="A10" s="1" t="s">
        <v>1637</v>
      </c>
      <c r="C10" s="142" t="str">
        <f>IF(ARRAGrants!J186=0,"ALL IS OK","ERROR YOU MUST FIX")</f>
        <v>ALL IS OK</v>
      </c>
    </row>
    <row r="11" spans="1:4" x14ac:dyDescent="0.15">
      <c r="A11" s="1" t="s">
        <v>962</v>
      </c>
      <c r="C11" s="142" t="str">
        <f>IF(CapRes!I86=0,"ALL IS OK","ERROR YOU MUST FIX")</f>
        <v>ALL IS OK</v>
      </c>
    </row>
    <row r="12" spans="1:4" x14ac:dyDescent="0.15">
      <c r="A12" s="1" t="s">
        <v>994</v>
      </c>
      <c r="C12" s="142" t="str">
        <f>IF(GovGrants!J186=0,"ALL IS OK","ERROR YOU MUST FIX")</f>
        <v>ALL IS OK</v>
      </c>
    </row>
    <row r="13" spans="1:4" s="289" customFormat="1" x14ac:dyDescent="0.15">
      <c r="A13" s="1" t="s">
        <v>963</v>
      </c>
      <c r="B13"/>
      <c r="C13" s="142" t="str">
        <f>IF(PupActiv!I72=0,"ALL IS OK","ERROR YOU MUST FIX")</f>
        <v>ALL IS OK</v>
      </c>
    </row>
    <row r="14" spans="1:4" x14ac:dyDescent="0.15">
      <c r="A14" s="1" t="s">
        <v>370</v>
      </c>
      <c r="C14" s="142" t="str">
        <f>IF(FullDayKOverride!I53=0,"ALL IS OK","ERROR YOU MUST FIX")</f>
        <v>ALL IS OK</v>
      </c>
    </row>
    <row r="15" spans="1:4" x14ac:dyDescent="0.15">
      <c r="A15" s="1" t="s">
        <v>964</v>
      </c>
      <c r="C15" s="142" t="str">
        <f>IF(Transp!I52=0,"ALL IS OK","ERROR YOU MUST FIX")</f>
        <v>ALL IS OK</v>
      </c>
    </row>
    <row r="16" spans="1:4" x14ac:dyDescent="0.15">
      <c r="A16" s="1" t="s">
        <v>965</v>
      </c>
      <c r="C16" s="142" t="str">
        <f>IF(OthSpecRev!I74=0,"ALL IS OK","ERROR YOU MUST FIX")</f>
        <v>ALL IS OK</v>
      </c>
    </row>
    <row r="17" spans="1:3" x14ac:dyDescent="0.15">
      <c r="A17" s="1" t="s">
        <v>966</v>
      </c>
      <c r="C17" s="142" t="str">
        <f>IF(BondRedm!I51=0,"ALL IS OK","ERROR YOU MUST FIX")</f>
        <v>ALL IS OK</v>
      </c>
    </row>
    <row r="18" spans="1:3" x14ac:dyDescent="0.15">
      <c r="A18" s="1" t="s">
        <v>1670</v>
      </c>
      <c r="C18" s="142" t="str">
        <f>IF([1]NonVoterDebt!I52=0,"ALL IS OK","ERROR YOU MUST FIX")</f>
        <v>ALL IS OK</v>
      </c>
    </row>
    <row r="19" spans="1:3" x14ac:dyDescent="0.15">
      <c r="A19" s="1" t="s">
        <v>967</v>
      </c>
      <c r="C19" s="142" t="str">
        <f>IF(BuildFund!I58=0,"ALL IS OK","ERROR YOU MUST FIX")</f>
        <v>ALL IS OK</v>
      </c>
    </row>
    <row r="20" spans="1:3" x14ac:dyDescent="0.15">
      <c r="A20" s="1" t="s">
        <v>968</v>
      </c>
      <c r="C20" s="142" t="str">
        <f>IF(SpecBuild!I45=0,"ALL IS OK","ERROR YOU MUST FIX")</f>
        <v>ALL IS OK</v>
      </c>
    </row>
    <row r="21" spans="1:3" x14ac:dyDescent="0.15">
      <c r="A21" s="1" t="s">
        <v>975</v>
      </c>
      <c r="C21" s="142" t="str">
        <f>IF(CapResCapPrj!I95=0,"ALL IS OK","ERROR YOU MUST FIX")</f>
        <v>ALL IS OK</v>
      </c>
    </row>
    <row r="22" spans="1:3" x14ac:dyDescent="0.15">
      <c r="A22" s="1" t="s">
        <v>976</v>
      </c>
      <c r="C22" s="142" t="str">
        <f>IF(FoodServ!I62=0,"ALL IS OK","ERROR YOU MUST FIX")</f>
        <v>ALL IS OK</v>
      </c>
    </row>
    <row r="23" spans="1:3" x14ac:dyDescent="0.15">
      <c r="A23" s="1" t="s">
        <v>915</v>
      </c>
      <c r="C23" s="142" t="str">
        <f>IF(OtherEnterprise!I52=0,"ALL IS OK","ERROR YOU MUST FIX")</f>
        <v>ALL IS OK</v>
      </c>
    </row>
    <row r="24" spans="1:3" x14ac:dyDescent="0.15">
      <c r="A24" s="1" t="s">
        <v>916</v>
      </c>
      <c r="C24" s="142" t="str">
        <f>IF(RiskRelated!I50=0,"ALL IS OK","ERROR YOU MUST FIX")</f>
        <v>ALL IS OK</v>
      </c>
    </row>
    <row r="25" spans="1:3" x14ac:dyDescent="0.15">
      <c r="A25" s="1" t="s">
        <v>917</v>
      </c>
      <c r="C25" s="142" t="str">
        <f>IF(OtherInternal!I54=0,"ALL IS OK","ERROR YOU MUST FIX")</f>
        <v>ALL IS OK</v>
      </c>
    </row>
    <row r="26" spans="1:3" x14ac:dyDescent="0.15">
      <c r="A26" s="1" t="s">
        <v>918</v>
      </c>
      <c r="C26" s="142" t="str">
        <f>IF(PupilActAgency!I64=0,"ALL IS OK","ERROR YOU MUST FIX")</f>
        <v>ALL IS OK</v>
      </c>
    </row>
    <row r="27" spans="1:3" x14ac:dyDescent="0.15">
      <c r="A27" s="1" t="s">
        <v>920</v>
      </c>
      <c r="C27" s="142" t="str">
        <f>IF('Trust&amp;Agency'!I63=0,"ALL IS OK","ERROR YOU MUST FIX")</f>
        <v>ALL IS OK</v>
      </c>
    </row>
    <row r="28" spans="1:3" x14ac:dyDescent="0.15">
      <c r="A28" s="1" t="s">
        <v>959</v>
      </c>
      <c r="C28" s="142" t="str">
        <f>IF('Foundation Fund'!I63=0,"ALL IS OK","ERROR YOU MUST FIX")</f>
        <v>ALL IS OK</v>
      </c>
    </row>
    <row r="29" spans="1:3" x14ac:dyDescent="0.15">
      <c r="A29" s="1" t="s">
        <v>371</v>
      </c>
      <c r="C29" s="142" t="str">
        <f>IF(Arbitrage!H38=0,"ALL IS OK","ERROR YOU MUST FIX")</f>
        <v>ALL IS OK</v>
      </c>
    </row>
    <row r="30" spans="1:3" x14ac:dyDescent="0.15">
      <c r="A30" s="1"/>
    </row>
    <row r="31" spans="1:3" x14ac:dyDescent="0.15">
      <c r="A31" s="1"/>
    </row>
    <row r="33" spans="1:5" x14ac:dyDescent="0.15">
      <c r="A33" s="18" t="s">
        <v>1661</v>
      </c>
    </row>
    <row r="34" spans="1:5" x14ac:dyDescent="0.15">
      <c r="A34" s="21" t="s">
        <v>49</v>
      </c>
      <c r="C34" s="623" t="str">
        <f>IF(GenFundREV!I105=SUM(Arbitrage!G19-CharterFundRev!I103),"ALL IS OK","ERROR--YOU MUST FIX")</f>
        <v>ALL IS OK</v>
      </c>
    </row>
    <row r="35" spans="1:5" x14ac:dyDescent="0.15">
      <c r="A35" s="21" t="s">
        <v>562</v>
      </c>
    </row>
    <row r="36" spans="1:5" x14ac:dyDescent="0.15">
      <c r="A36" s="21"/>
    </row>
    <row r="38" spans="1:5" x14ac:dyDescent="0.15">
      <c r="A38" s="18" t="s">
        <v>1662</v>
      </c>
    </row>
    <row r="39" spans="1:5" x14ac:dyDescent="0.15">
      <c r="C39" s="623" t="str">
        <f>IF(GenFundREV!I106='CPP Fund'!I14,"ALL IS OK","ERROR--YOU MUST FIX")</f>
        <v>ALL IS OK</v>
      </c>
    </row>
    <row r="42" spans="1:5" x14ac:dyDescent="0.15">
      <c r="D42" s="108"/>
    </row>
    <row r="43" spans="1:5" ht="12.75" x14ac:dyDescent="0.2">
      <c r="A43" s="105" t="s">
        <v>1663</v>
      </c>
      <c r="D43" s="1"/>
      <c r="E43" s="123"/>
    </row>
    <row r="44" spans="1:5" x14ac:dyDescent="0.15">
      <c r="A44" s="108"/>
      <c r="D44" s="1"/>
      <c r="E44" s="123"/>
    </row>
    <row r="45" spans="1:5" x14ac:dyDescent="0.15">
      <c r="A45" s="1" t="s">
        <v>421</v>
      </c>
      <c r="C45" s="109">
        <f>+GenFundREV!I94-GenFundREV!I113</f>
        <v>0</v>
      </c>
      <c r="D45" s="1"/>
      <c r="E45" s="123"/>
    </row>
    <row r="46" spans="1:5" x14ac:dyDescent="0.15">
      <c r="A46" s="1" t="s">
        <v>1634</v>
      </c>
      <c r="C46" s="109">
        <f>+CharterFundRev!I92-CharterFundRev!I111</f>
        <v>0</v>
      </c>
      <c r="D46" s="1"/>
      <c r="E46" s="123"/>
    </row>
    <row r="47" spans="1:5" x14ac:dyDescent="0.15">
      <c r="A47" s="1" t="s">
        <v>1125</v>
      </c>
      <c r="C47" s="109">
        <f>+InsResv!I12-InsResv!I21</f>
        <v>0</v>
      </c>
      <c r="D47" s="1" t="s">
        <v>1666</v>
      </c>
      <c r="E47" s="123"/>
    </row>
    <row r="48" spans="1:5" x14ac:dyDescent="0.15">
      <c r="A48" s="1" t="s">
        <v>1488</v>
      </c>
      <c r="C48" s="109">
        <f>+'CPP Fund'!I13+'CPP Fund'!I22</f>
        <v>0</v>
      </c>
      <c r="D48" s="1"/>
      <c r="E48" s="123"/>
    </row>
    <row r="49" spans="1:5" hidden="1" x14ac:dyDescent="0.15">
      <c r="A49" s="392" t="s">
        <v>1640</v>
      </c>
      <c r="B49" s="289"/>
      <c r="C49" s="394">
        <f>+ARRAGrants!J71-ARRAGrants!J91</f>
        <v>0</v>
      </c>
      <c r="D49" s="1"/>
      <c r="E49" s="123"/>
    </row>
    <row r="50" spans="1:5" s="289" customFormat="1" x14ac:dyDescent="0.15">
      <c r="A50" s="1" t="s">
        <v>795</v>
      </c>
      <c r="B50"/>
      <c r="C50" s="394">
        <f>+CapRes!I19-CapRes!I30</f>
        <v>0</v>
      </c>
      <c r="D50" s="392"/>
      <c r="E50" s="290"/>
    </row>
    <row r="51" spans="1:5" x14ac:dyDescent="0.15">
      <c r="A51" s="1" t="s">
        <v>994</v>
      </c>
      <c r="C51" s="109">
        <f>+GovGrants!J71-GovGrants!J91</f>
        <v>0</v>
      </c>
      <c r="D51" s="1"/>
      <c r="E51" s="123"/>
    </row>
    <row r="52" spans="1:5" x14ac:dyDescent="0.15">
      <c r="A52" s="1" t="s">
        <v>963</v>
      </c>
      <c r="C52" s="109">
        <f>+PupActiv!I14-PupActiv!I22</f>
        <v>0</v>
      </c>
      <c r="D52" s="1"/>
      <c r="E52" s="123"/>
    </row>
    <row r="53" spans="1:5" x14ac:dyDescent="0.15">
      <c r="A53" s="392" t="s">
        <v>370</v>
      </c>
      <c r="B53" s="289"/>
      <c r="C53" s="394">
        <f>FullDayKOverride!I17</f>
        <v>0</v>
      </c>
      <c r="D53" s="1"/>
      <c r="E53" s="123"/>
    </row>
    <row r="54" spans="1:5" x14ac:dyDescent="0.15">
      <c r="A54" s="1" t="s">
        <v>964</v>
      </c>
      <c r="C54" s="109">
        <f>Transp!I17</f>
        <v>0</v>
      </c>
      <c r="D54" s="1"/>
      <c r="E54" s="123"/>
    </row>
    <row r="55" spans="1:5" x14ac:dyDescent="0.15">
      <c r="A55" s="1" t="s">
        <v>965</v>
      </c>
      <c r="C55" s="109">
        <f>+OthSpecRev!I13-OthSpecRev!I21</f>
        <v>0</v>
      </c>
      <c r="D55" s="1"/>
      <c r="E55" s="123"/>
    </row>
    <row r="56" spans="1:5" x14ac:dyDescent="0.15">
      <c r="A56" s="1" t="s">
        <v>966</v>
      </c>
      <c r="C56" s="109">
        <f>+BondRedm!I19-BondRedm!I27</f>
        <v>0</v>
      </c>
      <c r="D56" s="1"/>
      <c r="E56" s="123"/>
    </row>
    <row r="57" spans="1:5" x14ac:dyDescent="0.15">
      <c r="A57" s="1" t="s">
        <v>1670</v>
      </c>
      <c r="C57" s="109">
        <f>+[1]NonVoterDebt!I20-[1]NonVoterDebt!I28</f>
        <v>0</v>
      </c>
      <c r="D57" s="1"/>
      <c r="E57" s="123"/>
    </row>
    <row r="58" spans="1:5" x14ac:dyDescent="0.15">
      <c r="A58" s="1" t="s">
        <v>967</v>
      </c>
      <c r="C58" s="109">
        <f>+BuildFund!I15-BuildFund!I23</f>
        <v>0</v>
      </c>
      <c r="D58" s="1"/>
      <c r="E58" s="123"/>
    </row>
    <row r="59" spans="1:5" x14ac:dyDescent="0.15">
      <c r="A59" s="1" t="s">
        <v>968</v>
      </c>
      <c r="C59" s="109">
        <f>SpecBuild!I12</f>
        <v>0</v>
      </c>
      <c r="D59" s="1"/>
      <c r="E59" s="123"/>
    </row>
    <row r="60" spans="1:5" x14ac:dyDescent="0.15">
      <c r="A60" s="1" t="s">
        <v>975</v>
      </c>
      <c r="C60" s="109">
        <f>+CapResCapPrj!I19-CapResCapPrj!I30</f>
        <v>0</v>
      </c>
      <c r="D60" s="1"/>
      <c r="E60" s="123"/>
    </row>
    <row r="61" spans="1:5" x14ac:dyDescent="0.15">
      <c r="A61" s="1" t="s">
        <v>976</v>
      </c>
      <c r="C61" s="109">
        <f>+FoodServ!I19-FoodServ!I27</f>
        <v>0</v>
      </c>
      <c r="D61" s="1"/>
      <c r="E61" s="123"/>
    </row>
    <row r="62" spans="1:5" x14ac:dyDescent="0.15">
      <c r="A62" s="1" t="s">
        <v>915</v>
      </c>
      <c r="C62" s="109">
        <f>+OtherEnterprise!I14-OtherEnterprise!I22</f>
        <v>0</v>
      </c>
      <c r="D62" s="1"/>
      <c r="E62" s="123"/>
    </row>
    <row r="63" spans="1:5" x14ac:dyDescent="0.15">
      <c r="A63" s="1" t="s">
        <v>916</v>
      </c>
      <c r="C63" s="109">
        <f>+RiskRelated!I12-RiskRelated!I20</f>
        <v>0</v>
      </c>
      <c r="D63" s="1"/>
      <c r="E63" s="123"/>
    </row>
    <row r="64" spans="1:5" x14ac:dyDescent="0.15">
      <c r="A64" s="1" t="s">
        <v>917</v>
      </c>
      <c r="C64" s="109">
        <f>+OtherInternal!I16-OtherInternal!I24</f>
        <v>0</v>
      </c>
      <c r="D64" s="1"/>
      <c r="E64" s="123"/>
    </row>
    <row r="65" spans="1:5" x14ac:dyDescent="0.15">
      <c r="A65" s="1" t="s">
        <v>918</v>
      </c>
      <c r="C65" s="109">
        <f>+PupilActAgency!I11-PupilActAgency!I19</f>
        <v>0</v>
      </c>
      <c r="D65" s="1"/>
      <c r="E65" s="123"/>
    </row>
    <row r="66" spans="1:5" x14ac:dyDescent="0.15">
      <c r="A66" s="1" t="s">
        <v>920</v>
      </c>
      <c r="C66" s="109">
        <f>+'Trust&amp;Agency'!I10-'Trust&amp;Agency'!I18</f>
        <v>0</v>
      </c>
      <c r="E66" s="131"/>
    </row>
    <row r="67" spans="1:5" x14ac:dyDescent="0.15">
      <c r="A67" s="1" t="s">
        <v>959</v>
      </c>
      <c r="C67" s="109">
        <f>+'Foundation Fund'!I10-'Foundation Fund'!I18</f>
        <v>0</v>
      </c>
      <c r="E67" s="123"/>
    </row>
    <row r="68" spans="1:5" x14ac:dyDescent="0.15">
      <c r="A68" s="1" t="s">
        <v>921</v>
      </c>
      <c r="C68" s="109">
        <f>+Arbitrage!G20-Arbitrage!G25</f>
        <v>0</v>
      </c>
    </row>
    <row r="70" spans="1:5" x14ac:dyDescent="0.15">
      <c r="C70" s="122">
        <f>SUM(C45:C69)</f>
        <v>0</v>
      </c>
    </row>
    <row r="71" spans="1:5" ht="12.75" x14ac:dyDescent="0.2">
      <c r="A71" s="105" t="s">
        <v>1607</v>
      </c>
      <c r="C71" s="141" t="str">
        <f>IF(C70=0, "ALL IS OK", "ERROR YOU MUST FIX")</f>
        <v>ALL IS OK</v>
      </c>
    </row>
    <row r="72" spans="1:5" x14ac:dyDescent="0.15">
      <c r="A72" s="6"/>
      <c r="C72" s="131"/>
    </row>
    <row r="73" spans="1:5" ht="12.75" x14ac:dyDescent="0.2">
      <c r="A73" s="105" t="s">
        <v>1664</v>
      </c>
    </row>
    <row r="74" spans="1:5" ht="12.75" x14ac:dyDescent="0.2">
      <c r="A74" s="37" t="s">
        <v>1139</v>
      </c>
    </row>
    <row r="75" spans="1:5" ht="12.75" x14ac:dyDescent="0.2">
      <c r="A75" s="37" t="s">
        <v>1140</v>
      </c>
      <c r="C75" s="109">
        <f>GenFundExp2!I558*0.15</f>
        <v>0</v>
      </c>
    </row>
    <row r="76" spans="1:5" ht="12.75" x14ac:dyDescent="0.2">
      <c r="A76" s="126" t="s">
        <v>1141</v>
      </c>
      <c r="C76" s="109">
        <f>GenFundExp2!I556</f>
        <v>0</v>
      </c>
    </row>
    <row r="77" spans="1:5" ht="12.75" x14ac:dyDescent="0.2">
      <c r="A77" s="125"/>
      <c r="C77" s="142" t="str">
        <f>IF(C76&lt;=0.15*(GenFundExp2!I540+GenFundExp2!I550+GenFundExp2!I556),"ALL IS OK","ERROR YOU MUST FIX")</f>
        <v>ALL IS OK</v>
      </c>
    </row>
    <row r="78" spans="1:5" x14ac:dyDescent="0.15">
      <c r="A78" s="326"/>
      <c r="B78" s="289"/>
      <c r="C78" s="289"/>
      <c r="D78" s="289"/>
    </row>
    <row r="79" spans="1:5" x14ac:dyDescent="0.15">
      <c r="A79" s="326"/>
      <c r="B79" s="289"/>
      <c r="C79" s="289"/>
      <c r="D79" s="289"/>
    </row>
    <row r="80" spans="1:5" ht="12.75" x14ac:dyDescent="0.2">
      <c r="A80" s="722" t="s">
        <v>1665</v>
      </c>
      <c r="B80" s="289"/>
      <c r="C80" s="289"/>
      <c r="D80" s="289"/>
    </row>
    <row r="81" spans="1:8" x14ac:dyDescent="0.15">
      <c r="A81" s="326" t="s">
        <v>1454</v>
      </c>
      <c r="B81" s="289"/>
      <c r="C81" s="289"/>
      <c r="D81" s="289"/>
    </row>
    <row r="82" spans="1:8" x14ac:dyDescent="0.15">
      <c r="A82" s="326" t="s">
        <v>1455</v>
      </c>
      <c r="B82" s="289"/>
      <c r="C82" s="289">
        <f t="array" ref="C82">SUM(IF(CertFund=RIGHT(LEFT($A$81,7),2),CertSalary))</f>
        <v>0</v>
      </c>
      <c r="D82" s="289"/>
    </row>
    <row r="83" spans="1:8" x14ac:dyDescent="0.15">
      <c r="A83" s="326" t="s">
        <v>1456</v>
      </c>
      <c r="B83" s="289"/>
      <c r="C83" s="289">
        <f>SUM(GenFundExp!G11+GenFundExp!G47+GenFundExp!G83+GenFundExp!G119+GenFundExp!G155+GenFundExp!G191+GenFundExp!G226+GenFundExp!G262+GenFundExp!G298+GenFundExp!G334+GenFundExp!G371+GenFundExp!G408+GenFundExp!G445+GenFundExp!G482+GenFundExp!G519+GenFundExp!G556+GenFundExp!G593+GenFundExp!G630+GenFundExp!G668+GenFundExp!G705+GenFundExp!G742+GenFundExp!G779+GenFundExp!G816+GenFundExp!G853+GenFundExp!G890+GenFundExp!G927+GenFundExp!G964+GenFundExp!G1001+GenFundExp!G1038)+SUM(GenFundExp2!G10+GenFundExp2!G47+GenFundExp2!G84+GenFundExp2!G121+GenFundExp2!G152+GenFundExp2!G190+GenFundExp2!G221+GenFundExp2!G254+GenFundExp2!G294+GenFundExp2!G326+GenFundExp2!G356+GenFundExp2!G387+GenFundExp2!G410+GenFundExp2!G433+GenFundExp2!G464+GenFundExp2!G495)</f>
        <v>0</v>
      </c>
      <c r="D83" s="289"/>
    </row>
    <row r="84" spans="1:8" x14ac:dyDescent="0.15">
      <c r="A84" s="326" t="s">
        <v>1459</v>
      </c>
      <c r="B84" s="289"/>
      <c r="C84" s="289">
        <f>+C82-C83</f>
        <v>0</v>
      </c>
      <c r="D84" s="289"/>
    </row>
    <row r="85" spans="1:8" x14ac:dyDescent="0.15">
      <c r="A85" s="326"/>
      <c r="B85" s="289"/>
      <c r="C85" s="723" t="str">
        <f>IF(C84=0, "ALL IS OK", "ERROR YOU MUST FIX")</f>
        <v>ALL IS OK</v>
      </c>
      <c r="D85" s="289"/>
    </row>
    <row r="86" spans="1:8" x14ac:dyDescent="0.15">
      <c r="A86" s="326" t="s">
        <v>1454</v>
      </c>
      <c r="B86" s="289"/>
      <c r="C86" s="289"/>
      <c r="D86" s="289"/>
    </row>
    <row r="87" spans="1:8" x14ac:dyDescent="0.15">
      <c r="A87" s="326" t="s">
        <v>1457</v>
      </c>
      <c r="B87" s="289"/>
      <c r="C87" s="289">
        <f t="array" ref="C87">SUM(IF(CertFund=RIGHT(LEFT($A$86,7),2),CertBen))</f>
        <v>0</v>
      </c>
      <c r="D87" s="289"/>
    </row>
    <row r="88" spans="1:8" x14ac:dyDescent="0.15">
      <c r="A88" s="326" t="s">
        <v>1458</v>
      </c>
      <c r="B88" s="289"/>
      <c r="C88" s="289">
        <f>SUM(GenFundExp!G13+GenFundExp!G49+GenFundExp!G85+GenFundExp!G121+GenFundExp!G157+GenFundExp!G193+GenFundExp!G228+GenFundExp!G264+GenFundExp!G300+GenFundExp!G336+GenFundExp!G373+GenFundExp!G410+GenFundExp!G447+GenFundExp!G484+GenFundExp!G521+GenFundExp!G558+GenFundExp!G595+GenFundExp!G632+GenFundExp!G670+GenFundExp!G707+GenFundExp!G744+GenFundExp!G781+GenFundExp!G818+GenFundExp!G855+GenFundExp!G892+GenFundExp!G929+GenFundExp!G966+GenFundExp!G1003+GenFundExp!G1040)+SUM(GenFundExp2!G12+GenFundExp2!G49+GenFundExp2!G86+GenFundExp2!G123+GenFundExp2!G154+GenFundExp2!G192+GenFundExp2!G223+GenFundExp2!G256+GenFundExp2!G296+GenFundExp2!G328+GenFundExp2!G358+GenFundExp2!G389+GenFundExp2!G412+GenFundExp2!G435+GenFundExp2!G466+GenFundExp2!G497)</f>
        <v>0</v>
      </c>
      <c r="D88" s="289"/>
    </row>
    <row r="89" spans="1:8" x14ac:dyDescent="0.15">
      <c r="A89" s="326" t="s">
        <v>1459</v>
      </c>
      <c r="B89" s="289"/>
      <c r="C89" s="289">
        <f>+C87-C88</f>
        <v>0</v>
      </c>
      <c r="D89" s="289"/>
    </row>
    <row r="90" spans="1:8" x14ac:dyDescent="0.15">
      <c r="A90" s="326"/>
      <c r="B90" s="289"/>
      <c r="C90" s="723" t="str">
        <f>IF(C89=0, "ALL IS OK", "ERROR YOU MUST FIX")</f>
        <v>ALL IS OK</v>
      </c>
      <c r="D90" s="289"/>
    </row>
    <row r="91" spans="1:8" x14ac:dyDescent="0.15">
      <c r="A91" s="326"/>
      <c r="B91" s="289"/>
      <c r="C91" s="289"/>
      <c r="D91" s="289"/>
    </row>
    <row r="92" spans="1:8" x14ac:dyDescent="0.15">
      <c r="A92" s="326" t="s">
        <v>1460</v>
      </c>
      <c r="B92" s="289"/>
      <c r="C92" s="289"/>
      <c r="D92" s="289"/>
    </row>
    <row r="93" spans="1:8" x14ac:dyDescent="0.15">
      <c r="A93" s="326" t="s">
        <v>1455</v>
      </c>
      <c r="B93" s="289"/>
      <c r="C93" s="289">
        <f t="array" ref="C93">SUM(IF(CertFund=RIGHT(LEFT($A$92,7),2),CertSalary))</f>
        <v>0</v>
      </c>
      <c r="D93" s="289"/>
    </row>
    <row r="94" spans="1:8" x14ac:dyDescent="0.15">
      <c r="A94" s="326" t="s">
        <v>1462</v>
      </c>
      <c r="B94" s="289"/>
      <c r="C94" s="289">
        <f>SUM(CharterFundExp!G11+CharterFundExp!G47+CharterFundExp!G83+CharterFundExp!G119+CharterFundExp!G155+CharterFundExp!G191+CharterFundExp!G226+CharterFundExp!G262+CharterFundExp!G298+CharterFundExp!G334+CharterFundExp!G371+CharterFundExp!G408+CharterFundExp!G445+CharterFundExp!G482+CharterFundExp!G519+CharterFundExp!G556+CharterFundExp!G593+CharterFundExp!G630+CharterFundExp!G668+CharterFundExp!G705+CharterFundExp!G742+CharterFundExp!G779+CharterFundExp!G816+CharterFundExp!G853+CharterFundExp!G890+CharterFundExp!G927+CharterFundExp!G964+CharterFundExp!G1001+CharterFundExp!G1038)+SUM(CharterFundExp2!G10+CharterFundExp2!G47+CharterFundExp2!G84+CharterFundExp2!G121+CharterFundExp2!G152+CharterFundExp2!G190+CharterFundExp2!G221+CharterFundExp2!G254+CharterFundExp2!G294+CharterFundExp2!G326+CharterFundExp2!G356+CharterFundExp2!G387+CharterFundExp2!G410+CharterFundExp2!G433+CharterFundExp2!G464+CharterFundExp2!G495)</f>
        <v>0</v>
      </c>
      <c r="D94" s="289"/>
      <c r="H94" s="3"/>
    </row>
    <row r="95" spans="1:8" x14ac:dyDescent="0.15">
      <c r="A95" s="326" t="s">
        <v>1459</v>
      </c>
      <c r="B95" s="289"/>
      <c r="C95" s="289">
        <f>+C93-C94</f>
        <v>0</v>
      </c>
      <c r="D95" s="289"/>
      <c r="H95" s="3"/>
    </row>
    <row r="96" spans="1:8" x14ac:dyDescent="0.15">
      <c r="A96" s="326"/>
      <c r="B96" s="289"/>
      <c r="C96" s="723" t="str">
        <f>IF(C95=0, "ALL IS OK", "ERROR YOU MUST FIX")</f>
        <v>ALL IS OK</v>
      </c>
      <c r="D96" s="289"/>
      <c r="H96" s="3"/>
    </row>
    <row r="97" spans="1:8" x14ac:dyDescent="0.15">
      <c r="A97" s="326" t="s">
        <v>1460</v>
      </c>
      <c r="B97" s="289"/>
      <c r="C97" s="289"/>
      <c r="D97" s="289"/>
      <c r="H97" s="3"/>
    </row>
    <row r="98" spans="1:8" x14ac:dyDescent="0.15">
      <c r="A98" s="326" t="s">
        <v>1457</v>
      </c>
      <c r="B98" s="289"/>
      <c r="C98" s="289">
        <f t="array" ref="C98">SUM(IF(CertFund=RIGHT(LEFT($A$97,7),2),CertBen))</f>
        <v>0</v>
      </c>
      <c r="D98" s="289"/>
      <c r="H98" s="3"/>
    </row>
    <row r="99" spans="1:8" x14ac:dyDescent="0.15">
      <c r="A99" s="326" t="s">
        <v>1463</v>
      </c>
      <c r="B99" s="289"/>
      <c r="C99" s="289">
        <f>SUM(CharterFundExp!G13+CharterFundExp!G49+CharterFundExp!G85+CharterFundExp!G121+CharterFundExp!G157+CharterFundExp!G193+CharterFundExp!G228+CharterFundExp!G264+CharterFundExp!G300+CharterFundExp!G336+CharterFundExp!G373+CharterFundExp!G410+CharterFundExp!G447+CharterFundExp!G484+CharterFundExp!G521+CharterFundExp!G558+CharterFundExp!G595+CharterFundExp!G632+CharterFundExp!G670+CharterFundExp!G707+CharterFundExp!G744+CharterFundExp!G781+CharterFundExp!G818+CharterFundExp!G855+CharterFundExp!G892+CharterFundExp!G929+CharterFundExp!G966+CharterFundExp!G1003+CharterFundExp!G1040)+SUM(CharterFundExp2!G12+CharterFundExp2!G49+CharterFundExp2!G86+CharterFundExp2!G123+CharterFundExp2!G154+CharterFundExp2!G192+CharterFundExp2!G223+CharterFundExp2!G256+CharterFundExp2!G296+CharterFundExp2!G328+CharterFundExp2!G358+CharterFundExp2!G389+CharterFundExp2!G412+CharterFundExp2!G435+CharterFundExp2!G466+CharterFundExp2!G497)</f>
        <v>0</v>
      </c>
      <c r="D99" s="289"/>
      <c r="H99" s="3"/>
    </row>
    <row r="100" spans="1:8" x14ac:dyDescent="0.15">
      <c r="A100" s="326" t="s">
        <v>1459</v>
      </c>
      <c r="B100" s="289"/>
      <c r="C100" s="289">
        <f>+C98-C99</f>
        <v>0</v>
      </c>
      <c r="D100" s="289"/>
      <c r="H100" s="3"/>
    </row>
    <row r="101" spans="1:8" x14ac:dyDescent="0.15">
      <c r="A101" s="326"/>
      <c r="B101" s="289"/>
      <c r="C101" s="723" t="str">
        <f>IF(C100=0, "ALL IS OK", "ERROR YOU MUST FIX")</f>
        <v>ALL IS OK</v>
      </c>
      <c r="D101" s="289"/>
      <c r="H101" s="3"/>
    </row>
    <row r="102" spans="1:8" x14ac:dyDescent="0.15">
      <c r="A102" s="289"/>
      <c r="B102" s="326"/>
      <c r="C102" s="326"/>
      <c r="D102" s="289"/>
      <c r="H102" s="3"/>
    </row>
    <row r="103" spans="1:8" x14ac:dyDescent="0.15">
      <c r="A103" s="326" t="s">
        <v>1461</v>
      </c>
      <c r="B103" s="289"/>
      <c r="C103" s="289"/>
      <c r="D103" s="289"/>
      <c r="H103" s="3"/>
    </row>
    <row r="104" spans="1:8" x14ac:dyDescent="0.15">
      <c r="A104" s="326" t="s">
        <v>1455</v>
      </c>
      <c r="B104" s="289"/>
      <c r="C104" s="289">
        <f t="array" ref="C104">SUM(IF(CertFund=RIGHT(LEFT($A$103,7),2),CertSalary))</f>
        <v>0</v>
      </c>
      <c r="D104" s="289"/>
      <c r="H104" s="3"/>
    </row>
    <row r="105" spans="1:8" x14ac:dyDescent="0.15">
      <c r="A105" s="326" t="s">
        <v>1464</v>
      </c>
      <c r="B105" s="289"/>
      <c r="C105" s="289">
        <f>'CPP Fund'!G28+'CPP Fund'!G75</f>
        <v>0</v>
      </c>
      <c r="D105" s="289"/>
      <c r="H105" s="3"/>
    </row>
    <row r="106" spans="1:8" x14ac:dyDescent="0.15">
      <c r="A106" s="326" t="s">
        <v>1459</v>
      </c>
      <c r="B106" s="289"/>
      <c r="C106" s="289">
        <f>+C104-C105</f>
        <v>0</v>
      </c>
      <c r="D106" s="289"/>
      <c r="H106" s="3"/>
    </row>
    <row r="107" spans="1:8" x14ac:dyDescent="0.15">
      <c r="A107" s="326"/>
      <c r="B107" s="289"/>
      <c r="C107" s="723" t="str">
        <f>IF(C106=0, "ALL IS OK", "ERROR YOU MUST FIX")</f>
        <v>ALL IS OK</v>
      </c>
      <c r="D107" s="289"/>
      <c r="H107" s="3"/>
    </row>
    <row r="108" spans="1:8" x14ac:dyDescent="0.15">
      <c r="A108" s="326" t="s">
        <v>1461</v>
      </c>
      <c r="B108" s="289"/>
      <c r="C108" s="289"/>
      <c r="D108" s="289"/>
      <c r="H108" s="3"/>
    </row>
    <row r="109" spans="1:8" x14ac:dyDescent="0.15">
      <c r="A109" s="326" t="s">
        <v>1457</v>
      </c>
      <c r="B109" s="289"/>
      <c r="C109" s="289">
        <f t="array" ref="C109">SUM(IF(CertFund=RIGHT(LEFT($A$108,7),2),CertBen))</f>
        <v>0</v>
      </c>
      <c r="D109" s="289"/>
      <c r="H109" s="3"/>
    </row>
    <row r="110" spans="1:8" x14ac:dyDescent="0.15">
      <c r="A110" s="326" t="s">
        <v>1465</v>
      </c>
      <c r="B110" s="289"/>
      <c r="C110" s="289">
        <f>'CPP Fund'!G30+'CPP Fund'!G77</f>
        <v>0</v>
      </c>
      <c r="D110" s="289"/>
      <c r="H110" s="3"/>
    </row>
    <row r="111" spans="1:8" x14ac:dyDescent="0.15">
      <c r="A111" s="326" t="s">
        <v>1459</v>
      </c>
      <c r="B111" s="289"/>
      <c r="C111" s="289">
        <f>+C109-C110</f>
        <v>0</v>
      </c>
      <c r="D111" s="289"/>
      <c r="H111" s="3"/>
    </row>
    <row r="112" spans="1:8" x14ac:dyDescent="0.15">
      <c r="A112" s="326"/>
      <c r="B112" s="289"/>
      <c r="C112" s="723" t="str">
        <f>IF(C111=0, "ALL IS OK", "ERROR YOU MUST FIX")</f>
        <v>ALL IS OK</v>
      </c>
      <c r="D112" s="289"/>
      <c r="G112" s="3"/>
      <c r="H112" s="3"/>
    </row>
    <row r="113" spans="1:8" hidden="1" x14ac:dyDescent="0.15">
      <c r="A113" s="289"/>
      <c r="B113" s="326"/>
      <c r="C113" s="326"/>
      <c r="D113" s="289"/>
      <c r="G113" s="3"/>
      <c r="H113" s="3"/>
    </row>
    <row r="114" spans="1:8" hidden="1" x14ac:dyDescent="0.15">
      <c r="A114" s="326" t="s">
        <v>1466</v>
      </c>
      <c r="B114" s="289"/>
      <c r="C114" s="289"/>
      <c r="D114" s="289"/>
      <c r="E114" s="3"/>
      <c r="F114" s="3"/>
      <c r="G114" s="3"/>
      <c r="H114" s="3"/>
    </row>
    <row r="115" spans="1:8" hidden="1" x14ac:dyDescent="0.15">
      <c r="A115" s="326" t="s">
        <v>1455</v>
      </c>
      <c r="B115" s="289"/>
      <c r="C115" s="289">
        <f t="array" ref="C115">SUM(IF(CertFund=RIGHT(LEFT($A$114,7),2),CertSalary))</f>
        <v>0</v>
      </c>
      <c r="D115" s="289"/>
      <c r="F115" s="3"/>
      <c r="G115" s="3"/>
      <c r="H115" s="3"/>
    </row>
    <row r="116" spans="1:8" hidden="1" x14ac:dyDescent="0.15">
      <c r="A116" s="326" t="s">
        <v>732</v>
      </c>
      <c r="B116" s="289"/>
      <c r="C116" s="289">
        <f>'Fund 20 Grants'!X14+'Fund 20 Grants'!X24+'Fund 20 Grants'!X34+'Fund 20 Grants'!X44+'Fund 20 Grants'!X54+'Fund 20 Grants'!X70+'Fund 20 Grants'!X81+'Fund 20 Grants'!X93</f>
        <v>0</v>
      </c>
      <c r="D116" s="289"/>
      <c r="E116" s="3"/>
      <c r="F116" s="3"/>
      <c r="G116" s="3"/>
      <c r="H116" s="3"/>
    </row>
    <row r="117" spans="1:8" hidden="1" x14ac:dyDescent="0.15">
      <c r="A117" s="326" t="s">
        <v>1459</v>
      </c>
      <c r="B117" s="289"/>
      <c r="C117" s="289">
        <f>+C115-C116</f>
        <v>0</v>
      </c>
      <c r="D117" s="724"/>
      <c r="E117" s="3"/>
      <c r="F117" s="3"/>
      <c r="G117" s="3"/>
      <c r="H117" s="3"/>
    </row>
    <row r="118" spans="1:8" hidden="1" x14ac:dyDescent="0.15">
      <c r="A118" s="326"/>
      <c r="B118" s="289"/>
      <c r="C118" s="723" t="str">
        <f>IF(C117=0, "ALL IS OK", "ERROR YOU MUST FIX")</f>
        <v>ALL IS OK</v>
      </c>
      <c r="D118" s="724"/>
      <c r="E118" s="3"/>
      <c r="F118" s="3"/>
      <c r="G118" s="3"/>
      <c r="H118" s="3"/>
    </row>
    <row r="119" spans="1:8" hidden="1" x14ac:dyDescent="0.15">
      <c r="A119" s="326" t="s">
        <v>1466</v>
      </c>
      <c r="B119" s="289"/>
      <c r="C119" s="289"/>
      <c r="D119" s="724"/>
      <c r="E119" s="3"/>
      <c r="F119" s="3"/>
      <c r="G119" s="3"/>
      <c r="H119" s="3"/>
    </row>
    <row r="120" spans="1:8" hidden="1" x14ac:dyDescent="0.15">
      <c r="A120" s="326" t="s">
        <v>1457</v>
      </c>
      <c r="B120" s="289"/>
      <c r="C120" s="289">
        <f t="array" ref="C120">SUM(IF(CertFund=RIGHT(LEFT($A$119,7),2),CertBen))</f>
        <v>0</v>
      </c>
      <c r="D120" s="724"/>
      <c r="E120" s="3"/>
      <c r="F120" s="3"/>
      <c r="G120" s="3"/>
      <c r="H120" s="3"/>
    </row>
    <row r="121" spans="1:8" hidden="1" x14ac:dyDescent="0.15">
      <c r="A121" s="326" t="s">
        <v>733</v>
      </c>
      <c r="B121" s="289"/>
      <c r="C121" s="289">
        <f>'Fund 20 Grants'!X16+'Fund 20 Grants'!X26+'Fund 20 Grants'!X36+'Fund 20 Grants'!X46+'Fund 20 Grants'!X56+'Fund 20 Grants'!X72+'Fund 20 Grants'!X83+'Fund 20 Grants'!X95</f>
        <v>0</v>
      </c>
      <c r="D121" s="289"/>
    </row>
    <row r="122" spans="1:8" hidden="1" x14ac:dyDescent="0.15">
      <c r="A122" s="326" t="s">
        <v>1459</v>
      </c>
      <c r="B122" s="289"/>
      <c r="C122" s="289">
        <f>+C120-C121</f>
        <v>0</v>
      </c>
      <c r="D122" s="289"/>
    </row>
    <row r="123" spans="1:8" hidden="1" x14ac:dyDescent="0.15">
      <c r="A123" s="326"/>
      <c r="B123" s="289"/>
      <c r="C123" s="723" t="str">
        <f>IF(C122=0, "ALL IS OK", "ERROR YOU MUST FIX")</f>
        <v>ALL IS OK</v>
      </c>
      <c r="D123" s="289"/>
    </row>
    <row r="124" spans="1:8" x14ac:dyDescent="0.15">
      <c r="A124" s="724"/>
      <c r="B124" s="724"/>
      <c r="C124" s="724"/>
      <c r="D124" s="289"/>
    </row>
    <row r="125" spans="1:8" x14ac:dyDescent="0.15">
      <c r="A125" s="326" t="s">
        <v>1467</v>
      </c>
      <c r="B125" s="289"/>
      <c r="C125" s="289"/>
      <c r="D125" s="289"/>
    </row>
    <row r="126" spans="1:8" x14ac:dyDescent="0.15">
      <c r="A126" s="326" t="s">
        <v>1455</v>
      </c>
      <c r="B126" s="289"/>
      <c r="C126" s="289">
        <f t="array" ref="C126">SUM(IF(CertFund=RIGHT(LEFT($A$125,7),2),CertSalary))</f>
        <v>0</v>
      </c>
      <c r="D126" s="289"/>
    </row>
    <row r="127" spans="1:8" x14ac:dyDescent="0.15">
      <c r="A127" s="326" t="s">
        <v>734</v>
      </c>
      <c r="B127" s="289"/>
      <c r="C127" s="289">
        <f>'Fund 22 Grants'!X14+'Fund 22 Grants'!X24+'Fund 22 Grants'!X34+'Fund 22 Grants'!X44+'Fund 22 Grants'!X54+'Fund 22 Grants'!X70+'Fund 22 Grants'!X81+'Fund 22 Grants'!X93</f>
        <v>0</v>
      </c>
      <c r="D127" s="289"/>
    </row>
    <row r="128" spans="1:8" x14ac:dyDescent="0.15">
      <c r="A128" s="326" t="s">
        <v>1459</v>
      </c>
      <c r="B128" s="289"/>
      <c r="C128" s="289">
        <f>+C126-C127</f>
        <v>0</v>
      </c>
      <c r="D128" s="289"/>
    </row>
    <row r="129" spans="1:4" x14ac:dyDescent="0.15">
      <c r="A129" s="326"/>
      <c r="B129" s="289"/>
      <c r="C129" s="723" t="str">
        <f>IF(C128=0, "ALL IS OK", "ERROR YOU MUST FIX")</f>
        <v>ALL IS OK</v>
      </c>
      <c r="D129" s="289"/>
    </row>
    <row r="130" spans="1:4" x14ac:dyDescent="0.15">
      <c r="A130" s="326" t="s">
        <v>1467</v>
      </c>
      <c r="B130" s="289"/>
      <c r="C130" s="289"/>
      <c r="D130" s="289"/>
    </row>
    <row r="131" spans="1:4" x14ac:dyDescent="0.15">
      <c r="A131" s="326" t="s">
        <v>1457</v>
      </c>
      <c r="B131" s="289"/>
      <c r="C131" s="289">
        <f t="array" ref="C131">SUM(IF(CertFund=RIGHT(LEFT($A$130,7),2),CertBen))</f>
        <v>0</v>
      </c>
      <c r="D131" s="289"/>
    </row>
    <row r="132" spans="1:4" x14ac:dyDescent="0.15">
      <c r="A132" s="326" t="s">
        <v>735</v>
      </c>
      <c r="B132" s="289"/>
      <c r="C132" s="289">
        <f>'Fund 22 Grants'!X16+'Fund 22 Grants'!X26+'Fund 22 Grants'!X36+'Fund 22 Grants'!X46+'Fund 22 Grants'!X56+'Fund 22 Grants'!X72+'Fund 22 Grants'!X83+'Fund 22 Grants'!X95</f>
        <v>0</v>
      </c>
      <c r="D132" s="289"/>
    </row>
    <row r="133" spans="1:4" x14ac:dyDescent="0.15">
      <c r="A133" s="326" t="s">
        <v>1459</v>
      </c>
      <c r="B133" s="289"/>
      <c r="C133" s="289">
        <f>+C131-C132</f>
        <v>0</v>
      </c>
      <c r="D133" s="289"/>
    </row>
    <row r="134" spans="1:4" x14ac:dyDescent="0.15">
      <c r="A134" s="326"/>
      <c r="B134" s="289"/>
      <c r="C134" s="723" t="str">
        <f>IF(C133=0, "ALL IS OK", "ERROR YOU MUST FIX")</f>
        <v>ALL IS OK</v>
      </c>
      <c r="D134" s="289"/>
    </row>
    <row r="135" spans="1:4" x14ac:dyDescent="0.15">
      <c r="A135" s="724"/>
      <c r="B135" s="724"/>
      <c r="C135" s="724"/>
      <c r="D135" s="289"/>
    </row>
    <row r="136" spans="1:4" x14ac:dyDescent="0.15">
      <c r="A136" s="326" t="s">
        <v>1468</v>
      </c>
      <c r="B136" s="289"/>
      <c r="C136" s="289"/>
      <c r="D136" s="289"/>
    </row>
    <row r="137" spans="1:4" x14ac:dyDescent="0.15">
      <c r="A137" s="326" t="s">
        <v>1455</v>
      </c>
      <c r="B137" s="289"/>
      <c r="C137" s="289">
        <f t="array" ref="C137">SUM(IF(CertFund=RIGHT(LEFT($A$136,7),2),CertSalary))</f>
        <v>0</v>
      </c>
      <c r="D137" s="289"/>
    </row>
    <row r="138" spans="1:4" x14ac:dyDescent="0.15">
      <c r="A138" s="326" t="s">
        <v>1469</v>
      </c>
      <c r="B138" s="289"/>
      <c r="C138" s="289">
        <f>PupActiv!G29</f>
        <v>0</v>
      </c>
      <c r="D138" s="289"/>
    </row>
    <row r="139" spans="1:4" x14ac:dyDescent="0.15">
      <c r="A139" s="326" t="s">
        <v>1459</v>
      </c>
      <c r="B139" s="289"/>
      <c r="C139" s="289">
        <f>+C137-C138</f>
        <v>0</v>
      </c>
      <c r="D139" s="289"/>
    </row>
    <row r="140" spans="1:4" x14ac:dyDescent="0.15">
      <c r="A140" s="326"/>
      <c r="B140" s="289"/>
      <c r="C140" s="723" t="str">
        <f>IF(C139=0, "ALL IS OK", "ERROR YOU MUST FIX")</f>
        <v>ALL IS OK</v>
      </c>
      <c r="D140" s="289"/>
    </row>
    <row r="141" spans="1:4" x14ac:dyDescent="0.15">
      <c r="A141" s="326" t="s">
        <v>1468</v>
      </c>
      <c r="B141" s="289"/>
      <c r="C141" s="289"/>
      <c r="D141" s="289"/>
    </row>
    <row r="142" spans="1:4" x14ac:dyDescent="0.15">
      <c r="A142" s="326" t="s">
        <v>1457</v>
      </c>
      <c r="B142" s="289"/>
      <c r="C142" s="289">
        <f t="array" ref="C142">SUM(IF(CertFund=RIGHT(LEFT($A$141,7),2),CertBen))</f>
        <v>0</v>
      </c>
      <c r="D142" s="289"/>
    </row>
    <row r="143" spans="1:4" x14ac:dyDescent="0.15">
      <c r="A143" s="326" t="s">
        <v>1470</v>
      </c>
      <c r="B143" s="289"/>
      <c r="C143" s="289">
        <f>PupActiv!G31</f>
        <v>0</v>
      </c>
      <c r="D143" s="289"/>
    </row>
    <row r="144" spans="1:4" x14ac:dyDescent="0.15">
      <c r="A144" s="326" t="s">
        <v>1459</v>
      </c>
      <c r="B144" s="289"/>
      <c r="C144" s="289">
        <f>+C142-C143</f>
        <v>0</v>
      </c>
      <c r="D144" s="289"/>
    </row>
    <row r="145" spans="1:4" x14ac:dyDescent="0.15">
      <c r="A145" s="326"/>
      <c r="B145" s="289"/>
      <c r="C145" s="723" t="str">
        <f>IF(C144=0, "ALL IS OK", "ERROR YOU MUST FIX")</f>
        <v>ALL IS OK</v>
      </c>
      <c r="D145" s="289"/>
    </row>
    <row r="146" spans="1:4" x14ac:dyDescent="0.15">
      <c r="A146" s="724"/>
      <c r="B146" s="724"/>
      <c r="C146" s="724"/>
      <c r="D146" s="289"/>
    </row>
    <row r="147" spans="1:4" x14ac:dyDescent="0.15">
      <c r="A147" s="326" t="s">
        <v>886</v>
      </c>
      <c r="B147" s="289"/>
      <c r="C147" s="289"/>
      <c r="D147" s="289"/>
    </row>
    <row r="148" spans="1:4" x14ac:dyDescent="0.15">
      <c r="A148" s="326" t="s">
        <v>1455</v>
      </c>
      <c r="B148" s="289"/>
      <c r="C148" s="289">
        <f t="array" ref="C148">SUM(IF(CertFund=RIGHT(LEFT($A$147,7),2),CertSalary))</f>
        <v>0</v>
      </c>
      <c r="D148" s="289"/>
    </row>
    <row r="149" spans="1:4" x14ac:dyDescent="0.15">
      <c r="A149" s="326" t="s">
        <v>44</v>
      </c>
      <c r="B149" s="289"/>
      <c r="C149" s="289">
        <f>FullDayKOverride!G25</f>
        <v>0</v>
      </c>
      <c r="D149" s="289"/>
    </row>
    <row r="150" spans="1:4" x14ac:dyDescent="0.15">
      <c r="A150" s="326" t="s">
        <v>1459</v>
      </c>
      <c r="B150" s="289"/>
      <c r="C150" s="289">
        <f>+C148-C149</f>
        <v>0</v>
      </c>
      <c r="D150" s="289"/>
    </row>
    <row r="151" spans="1:4" x14ac:dyDescent="0.15">
      <c r="A151" s="326"/>
      <c r="B151" s="289"/>
      <c r="C151" s="723" t="str">
        <f>IF(C150=0, "ALL IS OK", "ERROR YOU MUST FIX")</f>
        <v>ALL IS OK</v>
      </c>
      <c r="D151" s="289"/>
    </row>
    <row r="152" spans="1:4" x14ac:dyDescent="0.15">
      <c r="A152" s="326" t="s">
        <v>886</v>
      </c>
      <c r="B152" s="289"/>
      <c r="C152" s="289"/>
      <c r="D152" s="289"/>
    </row>
    <row r="153" spans="1:4" x14ac:dyDescent="0.15">
      <c r="A153" s="326" t="s">
        <v>1457</v>
      </c>
      <c r="B153" s="289"/>
      <c r="C153" s="289">
        <f t="array" ref="C153">SUM(IF(CertFund=RIGHT(LEFT($A$152,7),2),CertBen))</f>
        <v>0</v>
      </c>
      <c r="D153" s="289"/>
    </row>
    <row r="154" spans="1:4" x14ac:dyDescent="0.15">
      <c r="A154" s="326" t="s">
        <v>45</v>
      </c>
      <c r="B154" s="289"/>
      <c r="C154" s="289">
        <f>FullDayKOverride!G27</f>
        <v>0</v>
      </c>
      <c r="D154" s="289"/>
    </row>
    <row r="155" spans="1:4" x14ac:dyDescent="0.15">
      <c r="A155" s="326" t="s">
        <v>1459</v>
      </c>
      <c r="B155" s="289"/>
      <c r="C155" s="289">
        <f>+C153-C154</f>
        <v>0</v>
      </c>
      <c r="D155" s="289"/>
    </row>
    <row r="156" spans="1:4" x14ac:dyDescent="0.15">
      <c r="A156" s="326"/>
      <c r="B156" s="289"/>
      <c r="C156" s="723" t="str">
        <f>IF(C155=0, "ALL IS OK", "ERROR YOU MUST FIX")</f>
        <v>ALL IS OK</v>
      </c>
      <c r="D156" s="289"/>
    </row>
    <row r="157" spans="1:4" x14ac:dyDescent="0.15">
      <c r="A157" s="724"/>
      <c r="B157" s="724"/>
      <c r="C157" s="724"/>
      <c r="D157" s="289"/>
    </row>
    <row r="158" spans="1:4" x14ac:dyDescent="0.15">
      <c r="A158" s="326" t="s">
        <v>1471</v>
      </c>
      <c r="B158" s="289"/>
      <c r="C158" s="289"/>
      <c r="D158" s="289"/>
    </row>
    <row r="159" spans="1:4" x14ac:dyDescent="0.15">
      <c r="A159" s="326" t="s">
        <v>1455</v>
      </c>
      <c r="B159" s="289"/>
      <c r="C159" s="289">
        <f t="array" ref="C159">SUM(IF(CertFund=RIGHT(LEFT($A$158,7),2),CertSalary))</f>
        <v>0</v>
      </c>
      <c r="D159" s="289"/>
    </row>
    <row r="160" spans="1:4" x14ac:dyDescent="0.15">
      <c r="A160" s="326" t="s">
        <v>1472</v>
      </c>
      <c r="B160" s="289"/>
      <c r="C160" s="289">
        <f>FoodServ!G32</f>
        <v>0</v>
      </c>
      <c r="D160" s="289"/>
    </row>
    <row r="161" spans="1:4" x14ac:dyDescent="0.15">
      <c r="A161" s="326" t="s">
        <v>1459</v>
      </c>
      <c r="B161" s="289"/>
      <c r="C161" s="289">
        <f>+C159-C160</f>
        <v>0</v>
      </c>
      <c r="D161" s="289"/>
    </row>
    <row r="162" spans="1:4" x14ac:dyDescent="0.15">
      <c r="A162" s="326"/>
      <c r="B162" s="289"/>
      <c r="C162" s="723" t="str">
        <f>IF(C161=0, "ALL IS OK", "ERROR YOU MUST FIX")</f>
        <v>ALL IS OK</v>
      </c>
      <c r="D162" s="289"/>
    </row>
    <row r="163" spans="1:4" x14ac:dyDescent="0.15">
      <c r="A163" s="326" t="s">
        <v>1471</v>
      </c>
      <c r="B163" s="289"/>
      <c r="C163" s="289"/>
      <c r="D163" s="289"/>
    </row>
    <row r="164" spans="1:4" x14ac:dyDescent="0.15">
      <c r="A164" s="326" t="s">
        <v>1457</v>
      </c>
      <c r="B164" s="289"/>
      <c r="C164" s="289">
        <f t="array" ref="C164">SUM(IF(CertFund=RIGHT(LEFT($A$163,7),2),CertBen))</f>
        <v>0</v>
      </c>
      <c r="D164" s="289"/>
    </row>
    <row r="165" spans="1:4" x14ac:dyDescent="0.15">
      <c r="A165" s="326" t="s">
        <v>1473</v>
      </c>
      <c r="B165" s="289"/>
      <c r="C165" s="289">
        <f>FoodServ!G34</f>
        <v>0</v>
      </c>
      <c r="D165" s="289"/>
    </row>
    <row r="166" spans="1:4" x14ac:dyDescent="0.15">
      <c r="A166" s="326" t="s">
        <v>1459</v>
      </c>
      <c r="B166" s="289"/>
      <c r="C166" s="289">
        <f>+C164-C165</f>
        <v>0</v>
      </c>
      <c r="D166" s="289"/>
    </row>
    <row r="167" spans="1:4" x14ac:dyDescent="0.15">
      <c r="A167" s="326"/>
      <c r="B167" s="289"/>
      <c r="C167" s="723" t="str">
        <f>IF(C166=0, "ALL IS OK", "ERROR YOU MUST FIX")</f>
        <v>ALL IS OK</v>
      </c>
      <c r="D167" s="289"/>
    </row>
    <row r="168" spans="1:4" x14ac:dyDescent="0.15">
      <c r="A168" s="289"/>
      <c r="B168" s="289"/>
      <c r="C168" s="289"/>
      <c r="D168" s="289"/>
    </row>
    <row r="169" spans="1:4" x14ac:dyDescent="0.15">
      <c r="A169" s="289"/>
      <c r="B169" s="289"/>
      <c r="C169" s="289"/>
      <c r="D169" s="289"/>
    </row>
    <row r="170" spans="1:4" x14ac:dyDescent="0.15">
      <c r="A170" s="289"/>
      <c r="B170" s="289"/>
      <c r="C170" s="289"/>
      <c r="D170" s="289"/>
    </row>
    <row r="171" spans="1:4" x14ac:dyDescent="0.15">
      <c r="A171" s="289"/>
      <c r="B171" s="289"/>
      <c r="C171" s="289"/>
      <c r="D171" s="289"/>
    </row>
    <row r="172" spans="1:4" x14ac:dyDescent="0.15">
      <c r="A172" s="289"/>
      <c r="B172" s="289"/>
      <c r="C172" s="289"/>
      <c r="D172" s="289"/>
    </row>
    <row r="173" spans="1:4" x14ac:dyDescent="0.15">
      <c r="A173" s="289"/>
      <c r="B173" s="289"/>
      <c r="C173" s="289"/>
      <c r="D173" s="289"/>
    </row>
    <row r="174" spans="1:4" x14ac:dyDescent="0.15">
      <c r="A174" s="289"/>
      <c r="B174" s="289"/>
      <c r="C174" s="289"/>
      <c r="D174" s="289"/>
    </row>
    <row r="175" spans="1:4" x14ac:dyDescent="0.15">
      <c r="A175" s="289"/>
      <c r="B175" s="289"/>
      <c r="C175" s="289"/>
      <c r="D175" s="289"/>
    </row>
    <row r="176" spans="1:4" x14ac:dyDescent="0.15">
      <c r="A176" s="289"/>
      <c r="B176" s="289"/>
      <c r="C176" s="289"/>
      <c r="D176" s="289"/>
    </row>
    <row r="177" spans="1:4" x14ac:dyDescent="0.15">
      <c r="A177" s="289"/>
      <c r="B177" s="289"/>
      <c r="C177" s="289"/>
      <c r="D177" s="289"/>
    </row>
    <row r="178" spans="1:4" x14ac:dyDescent="0.15">
      <c r="A178" s="289"/>
      <c r="B178" s="289"/>
      <c r="C178" s="289"/>
      <c r="D178" s="289"/>
    </row>
    <row r="179" spans="1:4" x14ac:dyDescent="0.15">
      <c r="A179" s="289"/>
      <c r="B179" s="289"/>
      <c r="C179" s="289"/>
      <c r="D179" s="289"/>
    </row>
  </sheetData>
  <sheetProtection password="CB03" sheet="1"/>
  <phoneticPr fontId="15" type="noConversion"/>
  <pageMargins left="0.75" right="0.75" top="1" bottom="1" header="0.5" footer="0.5"/>
  <pageSetup scale="66" firstPageNumber="52" fitToWidth="2" fitToHeight="2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B17" sqref="B17"/>
    </sheetView>
  </sheetViews>
  <sheetFormatPr defaultColWidth="12" defaultRowHeight="10.5" x14ac:dyDescent="0.15"/>
  <cols>
    <col min="1" max="1" width="23.6640625" customWidth="1"/>
    <col min="2" max="2" width="52.6640625" customWidth="1"/>
    <col min="3" max="3" width="11.6640625" customWidth="1"/>
    <col min="4" max="7" width="22.83203125" customWidth="1"/>
  </cols>
  <sheetData>
    <row r="1" spans="1:7" x14ac:dyDescent="0.15">
      <c r="A1" t="s">
        <v>106</v>
      </c>
      <c r="B1">
        <f>+'Page 1 - FY2014-15'!B5</f>
        <v>0</v>
      </c>
      <c r="C1" t="s">
        <v>1586</v>
      </c>
      <c r="D1" s="107">
        <f>+'Page 1 - FY2014-15'!F7</f>
        <v>0</v>
      </c>
      <c r="E1" s="17"/>
      <c r="F1" s="17"/>
      <c r="G1" s="12"/>
    </row>
    <row r="2" spans="1:7" x14ac:dyDescent="0.15">
      <c r="A2" s="35" t="s">
        <v>688</v>
      </c>
      <c r="B2" s="17"/>
      <c r="C2" s="17"/>
      <c r="D2" s="17"/>
      <c r="E2" s="17"/>
      <c r="F2" s="17"/>
      <c r="G2" s="17"/>
    </row>
    <row r="4" spans="1:7" x14ac:dyDescent="0.15">
      <c r="A4" s="112" t="s">
        <v>689</v>
      </c>
      <c r="D4" s="4" t="s">
        <v>390</v>
      </c>
      <c r="E4" s="4" t="s">
        <v>996</v>
      </c>
      <c r="F4" s="4" t="s">
        <v>638</v>
      </c>
      <c r="G4" s="4" t="s">
        <v>997</v>
      </c>
    </row>
    <row r="5" spans="1:7" x14ac:dyDescent="0.15">
      <c r="A5" s="1" t="s">
        <v>998</v>
      </c>
      <c r="B5" s="1" t="s">
        <v>999</v>
      </c>
      <c r="C5" s="7" t="s">
        <v>998</v>
      </c>
      <c r="D5" s="120">
        <v>0</v>
      </c>
      <c r="E5" s="120">
        <v>0</v>
      </c>
      <c r="F5" s="120">
        <v>0</v>
      </c>
      <c r="G5" s="47">
        <f t="shared" ref="G5:G11" si="0">D5+E5-F5</f>
        <v>0</v>
      </c>
    </row>
    <row r="6" spans="1:7" x14ac:dyDescent="0.15">
      <c r="A6" s="1" t="s">
        <v>1635</v>
      </c>
      <c r="B6" s="1" t="s">
        <v>1636</v>
      </c>
      <c r="C6" s="7" t="s">
        <v>1635</v>
      </c>
      <c r="D6" s="120">
        <v>0</v>
      </c>
      <c r="E6" s="120">
        <v>0</v>
      </c>
      <c r="F6" s="120">
        <v>0</v>
      </c>
      <c r="G6" s="47">
        <f t="shared" si="0"/>
        <v>0</v>
      </c>
    </row>
    <row r="7" spans="1:7" x14ac:dyDescent="0.15">
      <c r="A7" s="1" t="s">
        <v>473</v>
      </c>
      <c r="B7" s="1" t="s">
        <v>1009</v>
      </c>
      <c r="C7" s="7" t="s">
        <v>473</v>
      </c>
      <c r="D7" s="120">
        <v>0</v>
      </c>
      <c r="E7" s="120">
        <v>0</v>
      </c>
      <c r="F7" s="120">
        <v>0</v>
      </c>
      <c r="G7" s="47">
        <f t="shared" si="0"/>
        <v>0</v>
      </c>
    </row>
    <row r="8" spans="1:7" x14ac:dyDescent="0.15">
      <c r="A8" s="1" t="s">
        <v>474</v>
      </c>
      <c r="B8" s="1" t="s">
        <v>780</v>
      </c>
      <c r="C8" s="7" t="s">
        <v>474</v>
      </c>
      <c r="D8" s="120">
        <v>0</v>
      </c>
      <c r="E8" s="120">
        <v>0</v>
      </c>
      <c r="F8" s="120">
        <v>0</v>
      </c>
      <c r="G8" s="47">
        <f t="shared" si="0"/>
        <v>0</v>
      </c>
    </row>
    <row r="9" spans="1:7" hidden="1" x14ac:dyDescent="0.15">
      <c r="A9" s="392" t="s">
        <v>1000</v>
      </c>
      <c r="B9" s="392" t="s">
        <v>1638</v>
      </c>
      <c r="C9" s="393" t="s">
        <v>1000</v>
      </c>
      <c r="D9" s="120">
        <v>0</v>
      </c>
      <c r="E9" s="120">
        <v>0</v>
      </c>
      <c r="F9" s="120">
        <v>0</v>
      </c>
      <c r="G9" s="47">
        <f>D9+E9-F9</f>
        <v>0</v>
      </c>
    </row>
    <row r="10" spans="1:7" x14ac:dyDescent="0.15">
      <c r="A10" s="1" t="s">
        <v>1002</v>
      </c>
      <c r="B10" s="1" t="s">
        <v>1001</v>
      </c>
      <c r="C10" s="7" t="s">
        <v>1002</v>
      </c>
      <c r="D10" s="120">
        <v>0</v>
      </c>
      <c r="E10" s="120">
        <v>0</v>
      </c>
      <c r="F10" s="120">
        <v>0</v>
      </c>
      <c r="G10" s="47">
        <f t="shared" si="0"/>
        <v>0</v>
      </c>
    </row>
    <row r="11" spans="1:7" x14ac:dyDescent="0.15">
      <c r="A11" s="1" t="s">
        <v>1004</v>
      </c>
      <c r="B11" s="1" t="s">
        <v>1003</v>
      </c>
      <c r="C11" s="7" t="s">
        <v>1004</v>
      </c>
      <c r="D11" s="120">
        <v>0</v>
      </c>
      <c r="E11" s="120">
        <v>0</v>
      </c>
      <c r="F11" s="120">
        <v>0</v>
      </c>
      <c r="G11" s="47">
        <f t="shared" si="0"/>
        <v>0</v>
      </c>
    </row>
    <row r="12" spans="1:7" s="289" customFormat="1" x14ac:dyDescent="0.15">
      <c r="A12" s="1" t="s">
        <v>1008</v>
      </c>
      <c r="B12" s="1" t="s">
        <v>1007</v>
      </c>
      <c r="C12" s="7" t="s">
        <v>1008</v>
      </c>
      <c r="D12" s="120">
        <v>0</v>
      </c>
      <c r="E12" s="120">
        <v>0</v>
      </c>
      <c r="F12" s="120">
        <v>0</v>
      </c>
      <c r="G12" s="47">
        <f t="shared" ref="G12:G24" si="1">D12+E12-F12</f>
        <v>0</v>
      </c>
    </row>
    <row r="13" spans="1:7" x14ac:dyDescent="0.15">
      <c r="A13" s="392" t="s">
        <v>1010</v>
      </c>
      <c r="B13" s="392" t="s">
        <v>475</v>
      </c>
      <c r="C13" s="393" t="s">
        <v>1010</v>
      </c>
      <c r="D13" s="120">
        <v>0</v>
      </c>
      <c r="E13" s="120">
        <v>0</v>
      </c>
      <c r="F13" s="120">
        <v>0</v>
      </c>
      <c r="G13" s="47">
        <f>D13+E13-F13</f>
        <v>0</v>
      </c>
    </row>
    <row r="14" spans="1:7" x14ac:dyDescent="0.15">
      <c r="A14" s="1" t="s">
        <v>1012</v>
      </c>
      <c r="B14" s="1" t="s">
        <v>1011</v>
      </c>
      <c r="C14" s="7" t="s">
        <v>1012</v>
      </c>
      <c r="D14" s="120">
        <v>0</v>
      </c>
      <c r="E14" s="120">
        <v>0</v>
      </c>
      <c r="F14" s="120">
        <v>0</v>
      </c>
      <c r="G14" s="47">
        <f t="shared" si="1"/>
        <v>0</v>
      </c>
    </row>
    <row r="15" spans="1:7" x14ac:dyDescent="0.15">
      <c r="A15" s="1" t="s">
        <v>1014</v>
      </c>
      <c r="B15" s="1" t="s">
        <v>1013</v>
      </c>
      <c r="C15" s="7" t="s">
        <v>1014</v>
      </c>
      <c r="D15" s="120">
        <v>0</v>
      </c>
      <c r="E15" s="120">
        <v>0</v>
      </c>
      <c r="F15" s="120">
        <v>0</v>
      </c>
      <c r="G15" s="47">
        <f t="shared" si="1"/>
        <v>0</v>
      </c>
    </row>
    <row r="16" spans="1:7" x14ac:dyDescent="0.15">
      <c r="A16" s="1" t="s">
        <v>1015</v>
      </c>
      <c r="B16" s="1" t="s">
        <v>995</v>
      </c>
      <c r="C16" s="7" t="s">
        <v>1015</v>
      </c>
      <c r="D16" s="120">
        <v>0</v>
      </c>
      <c r="E16" s="120">
        <v>0</v>
      </c>
      <c r="F16" s="120">
        <v>0</v>
      </c>
      <c r="G16" s="47">
        <f t="shared" si="1"/>
        <v>0</v>
      </c>
    </row>
    <row r="17" spans="1:7" x14ac:dyDescent="0.15">
      <c r="A17" s="1" t="s">
        <v>1671</v>
      </c>
      <c r="B17" s="1" t="s">
        <v>1672</v>
      </c>
      <c r="C17" s="7" t="s">
        <v>1671</v>
      </c>
      <c r="D17" s="120">
        <v>0</v>
      </c>
      <c r="E17" s="120">
        <v>0</v>
      </c>
      <c r="F17" s="120">
        <v>0</v>
      </c>
      <c r="G17" s="47">
        <f>D17+E17-F17</f>
        <v>0</v>
      </c>
    </row>
    <row r="18" spans="1:7" x14ac:dyDescent="0.15">
      <c r="A18" s="1" t="s">
        <v>1017</v>
      </c>
      <c r="B18" s="108" t="s">
        <v>1016</v>
      </c>
      <c r="C18" s="7" t="s">
        <v>1017</v>
      </c>
      <c r="D18" s="120">
        <v>0</v>
      </c>
      <c r="E18" s="120">
        <v>0</v>
      </c>
      <c r="F18" s="120">
        <v>0</v>
      </c>
      <c r="G18" s="47">
        <f t="shared" si="1"/>
        <v>0</v>
      </c>
    </row>
    <row r="19" spans="1:7" x14ac:dyDescent="0.15">
      <c r="A19" s="1" t="s">
        <v>1019</v>
      </c>
      <c r="B19" s="108" t="s">
        <v>1018</v>
      </c>
      <c r="C19" s="7" t="s">
        <v>1019</v>
      </c>
      <c r="D19" s="120">
        <v>0</v>
      </c>
      <c r="E19" s="120">
        <v>0</v>
      </c>
      <c r="F19" s="120">
        <v>0</v>
      </c>
      <c r="G19" s="47">
        <f t="shared" si="1"/>
        <v>0</v>
      </c>
    </row>
    <row r="20" spans="1:7" x14ac:dyDescent="0.15">
      <c r="A20" s="1" t="s">
        <v>1021</v>
      </c>
      <c r="B20" s="1" t="s">
        <v>1020</v>
      </c>
      <c r="C20" s="7" t="s">
        <v>1021</v>
      </c>
      <c r="D20" s="120">
        <v>0</v>
      </c>
      <c r="E20" s="120">
        <v>0</v>
      </c>
      <c r="F20" s="120">
        <v>0</v>
      </c>
      <c r="G20" s="47">
        <f>D20+E20-F20</f>
        <v>0</v>
      </c>
    </row>
    <row r="21" spans="1:7" x14ac:dyDescent="0.15">
      <c r="A21" s="1" t="s">
        <v>1023</v>
      </c>
      <c r="B21" s="1" t="s">
        <v>1022</v>
      </c>
      <c r="C21" s="7" t="s">
        <v>1023</v>
      </c>
      <c r="D21" s="120">
        <v>0</v>
      </c>
      <c r="E21" s="120">
        <v>0</v>
      </c>
      <c r="F21" s="120">
        <v>0</v>
      </c>
      <c r="G21" s="47">
        <f>D21+E21-F21</f>
        <v>0</v>
      </c>
    </row>
    <row r="22" spans="1:7" x14ac:dyDescent="0.15">
      <c r="A22" s="1" t="s">
        <v>1025</v>
      </c>
      <c r="B22" s="1" t="s">
        <v>1024</v>
      </c>
      <c r="C22" s="7" t="s">
        <v>1025</v>
      </c>
      <c r="D22" s="121">
        <v>0</v>
      </c>
      <c r="E22" s="121">
        <v>0</v>
      </c>
      <c r="F22" s="121">
        <v>0</v>
      </c>
      <c r="G22" s="47">
        <f t="shared" si="1"/>
        <v>0</v>
      </c>
    </row>
    <row r="23" spans="1:7" x14ac:dyDescent="0.15">
      <c r="A23" s="1" t="s">
        <v>979</v>
      </c>
      <c r="B23" s="1" t="s">
        <v>978</v>
      </c>
      <c r="C23" s="7" t="s">
        <v>979</v>
      </c>
      <c r="D23" s="120">
        <v>0</v>
      </c>
      <c r="E23" s="120">
        <v>0</v>
      </c>
      <c r="F23" s="120">
        <v>0</v>
      </c>
      <c r="G23" s="47">
        <f>D23+E23-F23</f>
        <v>0</v>
      </c>
    </row>
    <row r="24" spans="1:7" x14ac:dyDescent="0.15">
      <c r="A24" s="1" t="s">
        <v>781</v>
      </c>
      <c r="B24" s="1" t="s">
        <v>477</v>
      </c>
      <c r="C24" s="7" t="s">
        <v>781</v>
      </c>
      <c r="D24" s="120">
        <v>0</v>
      </c>
      <c r="E24" s="120">
        <v>0</v>
      </c>
      <c r="F24" s="120">
        <v>0</v>
      </c>
      <c r="G24" s="47">
        <f t="shared" si="1"/>
        <v>0</v>
      </c>
    </row>
    <row r="25" spans="1:7" ht="11.25" thickBot="1" x14ac:dyDescent="0.2">
      <c r="A25" s="1" t="s">
        <v>476</v>
      </c>
      <c r="B25" s="1" t="s">
        <v>980</v>
      </c>
      <c r="C25" s="7" t="s">
        <v>476</v>
      </c>
      <c r="D25" s="120">
        <v>0</v>
      </c>
      <c r="E25" s="120">
        <v>0</v>
      </c>
      <c r="F25" s="120">
        <v>0</v>
      </c>
      <c r="G25" s="47">
        <f>D25+E25-F25</f>
        <v>0</v>
      </c>
    </row>
    <row r="26" spans="1:7" ht="12" thickTop="1" thickBot="1" x14ac:dyDescent="0.2">
      <c r="B26" s="112" t="s">
        <v>690</v>
      </c>
      <c r="F26" s="6">
        <v>1</v>
      </c>
      <c r="G26" s="42">
        <f>SUM(G5:G25)</f>
        <v>0</v>
      </c>
    </row>
    <row r="27" spans="1:7" ht="11.25" thickTop="1" x14ac:dyDescent="0.15">
      <c r="A27" s="35" t="s">
        <v>981</v>
      </c>
    </row>
    <row r="28" spans="1:7" x14ac:dyDescent="0.15">
      <c r="A28" s="1" t="s">
        <v>998</v>
      </c>
      <c r="B28" s="1" t="s">
        <v>982</v>
      </c>
      <c r="E28" s="7" t="s">
        <v>983</v>
      </c>
      <c r="F28" s="41">
        <v>0</v>
      </c>
    </row>
    <row r="29" spans="1:7" x14ac:dyDescent="0.15">
      <c r="A29" s="1" t="s">
        <v>1000</v>
      </c>
      <c r="B29" s="1" t="s">
        <v>984</v>
      </c>
      <c r="E29" s="7" t="s">
        <v>985</v>
      </c>
      <c r="F29" s="41">
        <v>0</v>
      </c>
    </row>
    <row r="30" spans="1:7" x14ac:dyDescent="0.15">
      <c r="A30" s="1" t="s">
        <v>1002</v>
      </c>
      <c r="B30" s="1" t="s">
        <v>986</v>
      </c>
      <c r="E30" s="7" t="s">
        <v>987</v>
      </c>
      <c r="F30" s="41">
        <v>0</v>
      </c>
    </row>
    <row r="31" spans="1:7" x14ac:dyDescent="0.15">
      <c r="A31" s="1" t="s">
        <v>1004</v>
      </c>
      <c r="B31" s="1" t="s">
        <v>988</v>
      </c>
      <c r="E31" s="7" t="s">
        <v>989</v>
      </c>
      <c r="F31" s="41">
        <v>0</v>
      </c>
    </row>
    <row r="32" spans="1:7" x14ac:dyDescent="0.15">
      <c r="A32" s="1" t="s">
        <v>1008</v>
      </c>
      <c r="B32" s="1" t="s">
        <v>990</v>
      </c>
      <c r="E32" s="7" t="s">
        <v>991</v>
      </c>
      <c r="F32" s="41">
        <v>0</v>
      </c>
    </row>
    <row r="33" spans="1:8" x14ac:dyDescent="0.15">
      <c r="A33" s="1" t="s">
        <v>1010</v>
      </c>
      <c r="B33" s="1" t="s">
        <v>992</v>
      </c>
      <c r="E33" s="7" t="s">
        <v>993</v>
      </c>
      <c r="F33" s="41">
        <v>0</v>
      </c>
    </row>
    <row r="34" spans="1:8" x14ac:dyDescent="0.15">
      <c r="A34" s="1" t="s">
        <v>1012</v>
      </c>
      <c r="B34" s="1" t="s">
        <v>1053</v>
      </c>
      <c r="E34" s="7" t="s">
        <v>1015</v>
      </c>
      <c r="F34" s="41">
        <v>0</v>
      </c>
    </row>
    <row r="35" spans="1:8" ht="11.25" thickBot="1" x14ac:dyDescent="0.2">
      <c r="A35" s="1" t="s">
        <v>1014</v>
      </c>
      <c r="B35" s="1" t="s">
        <v>1054</v>
      </c>
      <c r="E35" s="7" t="s">
        <v>1017</v>
      </c>
      <c r="F35" s="41">
        <v>0</v>
      </c>
    </row>
    <row r="36" spans="1:8" ht="12" thickTop="1" thickBot="1" x14ac:dyDescent="0.2">
      <c r="B36" s="112" t="s">
        <v>691</v>
      </c>
      <c r="F36" s="6">
        <v>2</v>
      </c>
      <c r="G36" s="45">
        <f>SUM(F28:F35)</f>
        <v>0</v>
      </c>
    </row>
    <row r="37" spans="1:8" ht="12" thickTop="1" thickBot="1" x14ac:dyDescent="0.2">
      <c r="A37" s="112" t="s">
        <v>1654</v>
      </c>
      <c r="F37" s="6">
        <v>3</v>
      </c>
      <c r="G37" s="45">
        <f>G26-G36</f>
        <v>0</v>
      </c>
    </row>
    <row r="38" spans="1:8" ht="11.25" thickTop="1" x14ac:dyDescent="0.15">
      <c r="A38" s="35" t="s">
        <v>1055</v>
      </c>
    </row>
    <row r="39" spans="1:8" x14ac:dyDescent="0.15">
      <c r="A39" s="1" t="s">
        <v>998</v>
      </c>
      <c r="B39" s="108" t="s">
        <v>1056</v>
      </c>
      <c r="E39" s="7" t="s">
        <v>998</v>
      </c>
      <c r="F39" s="41">
        <v>0</v>
      </c>
    </row>
    <row r="40" spans="1:8" ht="11.25" thickBot="1" x14ac:dyDescent="0.2">
      <c r="A40" s="1" t="s">
        <v>1000</v>
      </c>
      <c r="B40" s="713" t="s">
        <v>1066</v>
      </c>
      <c r="E40" s="7" t="s">
        <v>1000</v>
      </c>
      <c r="F40" s="41">
        <v>0</v>
      </c>
    </row>
    <row r="41" spans="1:8" ht="12" thickTop="1" thickBot="1" x14ac:dyDescent="0.2">
      <c r="B41" s="35" t="s">
        <v>1058</v>
      </c>
      <c r="F41" s="6">
        <v>4</v>
      </c>
      <c r="G41" s="91">
        <f>SUM(F39:F40)</f>
        <v>0</v>
      </c>
    </row>
    <row r="42" spans="1:8" ht="12" thickTop="1" thickBot="1" x14ac:dyDescent="0.2">
      <c r="A42" s="35" t="s">
        <v>1059</v>
      </c>
      <c r="F42" s="6">
        <v>5</v>
      </c>
      <c r="G42" s="45">
        <f>G37-G41</f>
        <v>0</v>
      </c>
      <c r="H42" t="s">
        <v>1657</v>
      </c>
    </row>
    <row r="43" spans="1:8" ht="12" thickTop="1" thickBot="1" x14ac:dyDescent="0.2">
      <c r="A43" s="35"/>
      <c r="F43" s="6"/>
      <c r="G43" s="714">
        <f>G41*0.03</f>
        <v>0</v>
      </c>
      <c r="H43" t="s">
        <v>1658</v>
      </c>
    </row>
    <row r="44" spans="1:8" ht="11.25" thickTop="1" x14ac:dyDescent="0.15">
      <c r="A44" s="35" t="s">
        <v>1060</v>
      </c>
    </row>
    <row r="45" spans="1:8" x14ac:dyDescent="0.15">
      <c r="A45" s="1" t="s">
        <v>998</v>
      </c>
      <c r="B45" s="108" t="s">
        <v>1655</v>
      </c>
      <c r="D45" s="7" t="s">
        <v>998</v>
      </c>
      <c r="E45" s="92">
        <v>0</v>
      </c>
    </row>
    <row r="46" spans="1:8" ht="11.25" thickBot="1" x14ac:dyDescent="0.2">
      <c r="A46" s="1" t="s">
        <v>1000</v>
      </c>
      <c r="B46" s="1" t="s">
        <v>1061</v>
      </c>
      <c r="D46" s="7" t="s">
        <v>1000</v>
      </c>
      <c r="E46" s="93">
        <v>0</v>
      </c>
    </row>
    <row r="47" spans="1:8" ht="12" thickTop="1" thickBot="1" x14ac:dyDescent="0.2">
      <c r="A47" s="1" t="s">
        <v>1002</v>
      </c>
      <c r="B47" s="1" t="s">
        <v>1062</v>
      </c>
      <c r="D47" s="7" t="s">
        <v>1002</v>
      </c>
      <c r="E47" s="94">
        <f>SUM(E45:E46)</f>
        <v>0</v>
      </c>
    </row>
    <row r="48" spans="1:8" ht="12" thickTop="1" thickBot="1" x14ac:dyDescent="0.2">
      <c r="A48" s="1" t="s">
        <v>1004</v>
      </c>
      <c r="B48" s="1" t="s">
        <v>1063</v>
      </c>
      <c r="D48" s="7" t="s">
        <v>1004</v>
      </c>
      <c r="E48" s="47">
        <f>G42</f>
        <v>0</v>
      </c>
      <c r="G48" s="5"/>
    </row>
    <row r="49" spans="1:7" ht="12" thickTop="1" thickBot="1" x14ac:dyDescent="0.2">
      <c r="A49" s="1" t="s">
        <v>1008</v>
      </c>
      <c r="B49" s="1" t="s">
        <v>1064</v>
      </c>
      <c r="E49" s="7" t="s">
        <v>1008</v>
      </c>
      <c r="F49" s="45">
        <f>E48*E47</f>
        <v>0</v>
      </c>
    </row>
    <row r="50" spans="1:7" ht="11.25" thickTop="1" x14ac:dyDescent="0.15">
      <c r="A50" s="1" t="s">
        <v>1010</v>
      </c>
      <c r="B50" s="108" t="s">
        <v>1065</v>
      </c>
      <c r="E50" s="7" t="s">
        <v>1010</v>
      </c>
      <c r="F50" s="83">
        <f>F39</f>
        <v>0</v>
      </c>
    </row>
    <row r="51" spans="1:7" ht="11.25" thickBot="1" x14ac:dyDescent="0.2">
      <c r="A51" s="1" t="s">
        <v>1012</v>
      </c>
      <c r="B51" s="1" t="s">
        <v>1066</v>
      </c>
      <c r="E51" s="7" t="s">
        <v>1012</v>
      </c>
      <c r="F51" s="83">
        <f>F40</f>
        <v>0</v>
      </c>
    </row>
    <row r="52" spans="1:7" ht="12" thickTop="1" thickBot="1" x14ac:dyDescent="0.2">
      <c r="B52" s="35" t="s">
        <v>1067</v>
      </c>
      <c r="F52" s="6">
        <v>6</v>
      </c>
      <c r="G52" s="42">
        <f>SUM(F49:F51)</f>
        <v>0</v>
      </c>
    </row>
    <row r="53" spans="1:7" ht="12" thickTop="1" thickBot="1" x14ac:dyDescent="0.2"/>
    <row r="54" spans="1:7" ht="12" thickTop="1" thickBot="1" x14ac:dyDescent="0.2">
      <c r="A54" s="112" t="s">
        <v>692</v>
      </c>
      <c r="F54" s="6">
        <v>7</v>
      </c>
      <c r="G54" s="45">
        <f>G52+G37</f>
        <v>0</v>
      </c>
    </row>
    <row r="55" spans="1:7" ht="11.25" thickTop="1" x14ac:dyDescent="0.15"/>
  </sheetData>
  <phoneticPr fontId="15" type="noConversion"/>
  <pageMargins left="0.75" right="0.75" top="1" bottom="1" header="0.5" footer="0.5"/>
  <pageSetup scale="84" firstPageNumber="53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B17" sqref="B17"/>
    </sheetView>
  </sheetViews>
  <sheetFormatPr defaultColWidth="12" defaultRowHeight="10.5" x14ac:dyDescent="0.15"/>
  <cols>
    <col min="1" max="1" width="20.33203125" customWidth="1"/>
    <col min="2" max="6" width="22.83203125" customWidth="1"/>
  </cols>
  <sheetData>
    <row r="1" spans="1:6" x14ac:dyDescent="0.15">
      <c r="A1" t="s">
        <v>106</v>
      </c>
      <c r="B1">
        <f>+'Page 1 - FY2014-15'!B5</f>
        <v>0</v>
      </c>
      <c r="C1" t="s">
        <v>1586</v>
      </c>
      <c r="D1" s="107">
        <f>+'Page 1 - FY2014-15'!F7</f>
        <v>0</v>
      </c>
      <c r="E1" s="17"/>
      <c r="F1" s="12"/>
    </row>
    <row r="3" spans="1:6" x14ac:dyDescent="0.15">
      <c r="A3" s="35" t="s">
        <v>687</v>
      </c>
      <c r="B3" s="17"/>
      <c r="C3" s="17"/>
      <c r="D3" s="17"/>
      <c r="E3" s="17"/>
      <c r="F3" s="17"/>
    </row>
    <row r="6" spans="1:6" x14ac:dyDescent="0.15">
      <c r="B6" s="95" t="s">
        <v>1068</v>
      </c>
      <c r="C6" s="95" t="s">
        <v>1069</v>
      </c>
      <c r="D6" s="95" t="s">
        <v>1070</v>
      </c>
      <c r="E6" s="95" t="s">
        <v>1099</v>
      </c>
      <c r="F6" s="95" t="s">
        <v>1100</v>
      </c>
    </row>
    <row r="7" spans="1:6" x14ac:dyDescent="0.15">
      <c r="B7" s="96" t="s">
        <v>685</v>
      </c>
      <c r="C7" s="96" t="s">
        <v>1101</v>
      </c>
      <c r="D7" s="96" t="s">
        <v>1102</v>
      </c>
      <c r="E7" s="96" t="s">
        <v>1103</v>
      </c>
      <c r="F7" s="96" t="s">
        <v>1104</v>
      </c>
    </row>
    <row r="8" spans="1:6" x14ac:dyDescent="0.15">
      <c r="B8" s="96" t="s">
        <v>1105</v>
      </c>
      <c r="C8" s="96" t="s">
        <v>1106</v>
      </c>
      <c r="D8" s="96" t="s">
        <v>686</v>
      </c>
      <c r="E8" s="96" t="s">
        <v>1107</v>
      </c>
      <c r="F8" s="96" t="s">
        <v>1102</v>
      </c>
    </row>
    <row r="9" spans="1:6" x14ac:dyDescent="0.15">
      <c r="B9" s="31"/>
      <c r="C9" s="48" t="s">
        <v>1108</v>
      </c>
      <c r="D9" s="96" t="s">
        <v>1105</v>
      </c>
      <c r="E9" s="96" t="s">
        <v>1105</v>
      </c>
      <c r="F9" s="96" t="s">
        <v>686</v>
      </c>
    </row>
    <row r="10" spans="1:6" x14ac:dyDescent="0.15">
      <c r="B10" s="32"/>
      <c r="C10" s="96" t="s">
        <v>1109</v>
      </c>
      <c r="E10" s="132" t="s">
        <v>1106</v>
      </c>
      <c r="F10" s="96" t="s">
        <v>1105</v>
      </c>
    </row>
    <row r="11" spans="1:6" ht="11.25" thickBot="1" x14ac:dyDescent="0.2">
      <c r="B11" s="33"/>
      <c r="C11" s="33"/>
      <c r="D11" s="34"/>
      <c r="E11" s="18"/>
      <c r="F11" s="33"/>
    </row>
    <row r="12" spans="1:6" x14ac:dyDescent="0.15">
      <c r="A12" s="1" t="s">
        <v>999</v>
      </c>
      <c r="B12" s="97">
        <v>0</v>
      </c>
      <c r="C12" s="98">
        <f>'Tabor Spending Limitations'!E47</f>
        <v>0</v>
      </c>
      <c r="D12" s="47">
        <f>B12+(B12*C12)</f>
        <v>0</v>
      </c>
      <c r="E12" s="97">
        <v>0</v>
      </c>
      <c r="F12" s="99">
        <f>D12+E12</f>
        <v>0</v>
      </c>
    </row>
    <row r="13" spans="1:6" x14ac:dyDescent="0.15">
      <c r="A13" s="1" t="s">
        <v>995</v>
      </c>
      <c r="B13" s="81" t="s">
        <v>1110</v>
      </c>
      <c r="C13" s="100" t="s">
        <v>1110</v>
      </c>
      <c r="D13" s="81" t="s">
        <v>1110</v>
      </c>
      <c r="E13" s="81" t="s">
        <v>1110</v>
      </c>
      <c r="F13" s="81" t="s">
        <v>1110</v>
      </c>
    </row>
    <row r="14" spans="1:6" x14ac:dyDescent="0.15">
      <c r="A14" s="1" t="s">
        <v>1011</v>
      </c>
      <c r="B14" s="41">
        <v>0</v>
      </c>
      <c r="C14" s="92">
        <f>'Tabor Spending Limitations'!E47</f>
        <v>0</v>
      </c>
      <c r="D14" s="47">
        <f>B14+(B14*C14)</f>
        <v>0</v>
      </c>
      <c r="E14" s="41">
        <v>0</v>
      </c>
      <c r="F14" s="47">
        <f>D14+E14</f>
        <v>0</v>
      </c>
    </row>
    <row r="15" spans="1:6" x14ac:dyDescent="0.15">
      <c r="A15" s="1" t="s">
        <v>1111</v>
      </c>
      <c r="B15" s="41">
        <v>0</v>
      </c>
      <c r="C15" s="92">
        <f>'Tabor Spending Limitations'!E47</f>
        <v>0</v>
      </c>
      <c r="D15" s="47">
        <f>B15+(B15*C15)</f>
        <v>0</v>
      </c>
      <c r="E15" s="41">
        <v>0</v>
      </c>
      <c r="F15" s="47">
        <f>D15+E15</f>
        <v>0</v>
      </c>
    </row>
    <row r="16" spans="1:6" x14ac:dyDescent="0.15">
      <c r="A16" s="2" t="s">
        <v>1112</v>
      </c>
      <c r="B16" s="41">
        <v>0</v>
      </c>
      <c r="C16" s="92">
        <f>'Tabor Spending Limitations'!E47</f>
        <v>0</v>
      </c>
      <c r="D16" s="47">
        <f>B16+(B16*C16)</f>
        <v>0</v>
      </c>
      <c r="E16" s="41">
        <v>0</v>
      </c>
      <c r="F16" s="47">
        <f>D16+E16</f>
        <v>0</v>
      </c>
    </row>
    <row r="17" spans="1:6" x14ac:dyDescent="0.15">
      <c r="A17" s="3"/>
      <c r="B17" s="101"/>
      <c r="C17" s="102"/>
      <c r="D17" s="46"/>
      <c r="E17" s="101"/>
      <c r="F17" s="46"/>
    </row>
    <row r="18" spans="1:6" x14ac:dyDescent="0.15">
      <c r="A18" s="1" t="s">
        <v>112</v>
      </c>
      <c r="B18" s="47">
        <f>SUM(B12:B16)</f>
        <v>0</v>
      </c>
      <c r="C18" s="92">
        <f>'Tabor Spending Limitations'!E47</f>
        <v>0</v>
      </c>
      <c r="D18" s="47">
        <f>SUM(D12:D16)</f>
        <v>0</v>
      </c>
      <c r="E18" s="47">
        <f>SUM(E12:E16)</f>
        <v>0</v>
      </c>
      <c r="F18" s="47">
        <f>SUM(F12:F16)</f>
        <v>0</v>
      </c>
    </row>
  </sheetData>
  <phoneticPr fontId="15" type="noConversion"/>
  <pageMargins left="0.75" right="0.75" top="1" bottom="1" header="0.5" footer="0.5"/>
  <pageSetup firstPageNumber="54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D41" sqref="D41"/>
    </sheetView>
  </sheetViews>
  <sheetFormatPr defaultColWidth="12" defaultRowHeight="10.5" x14ac:dyDescent="0.15"/>
  <cols>
    <col min="1" max="1" width="54" customWidth="1"/>
    <col min="2" max="2" width="30" customWidth="1"/>
    <col min="3" max="3" width="31" customWidth="1"/>
    <col min="4" max="4" width="24.33203125" customWidth="1"/>
  </cols>
  <sheetData>
    <row r="1" spans="1:4" x14ac:dyDescent="0.15">
      <c r="A1" t="s">
        <v>106</v>
      </c>
      <c r="B1">
        <f>+'Page 1 - FY2014-15'!B5</f>
        <v>0</v>
      </c>
      <c r="C1" t="s">
        <v>1586</v>
      </c>
      <c r="D1" s="107">
        <f>+'Page 1 - FY2014-15'!F7</f>
        <v>0</v>
      </c>
    </row>
    <row r="3" spans="1:4" x14ac:dyDescent="0.15">
      <c r="A3" s="15" t="s">
        <v>1113</v>
      </c>
    </row>
    <row r="7" spans="1:4" ht="11.25" thickBot="1" x14ac:dyDescent="0.2"/>
    <row r="8" spans="1:4" ht="11.25" thickTop="1" x14ac:dyDescent="0.15">
      <c r="A8" s="50" t="s">
        <v>1114</v>
      </c>
      <c r="B8" s="103" t="s">
        <v>1115</v>
      </c>
      <c r="C8" s="103" t="s">
        <v>1116</v>
      </c>
      <c r="D8" s="11" t="s">
        <v>1117</v>
      </c>
    </row>
    <row r="9" spans="1:4" ht="11.25" thickBot="1" x14ac:dyDescent="0.2">
      <c r="A9" s="23"/>
      <c r="B9" s="104" t="s">
        <v>1118</v>
      </c>
      <c r="C9" s="104" t="s">
        <v>1119</v>
      </c>
      <c r="D9" s="24"/>
    </row>
    <row r="10" spans="1:4" ht="11.25" thickTop="1" x14ac:dyDescent="0.15">
      <c r="A10" s="51" t="s">
        <v>421</v>
      </c>
      <c r="B10" s="47">
        <f>GenFundREV!I110</f>
        <v>0</v>
      </c>
      <c r="C10" s="47">
        <f>GenFundExp2!I552</f>
        <v>0</v>
      </c>
      <c r="D10" s="47">
        <f>AppropRes!G13</f>
        <v>0</v>
      </c>
    </row>
    <row r="11" spans="1:4" x14ac:dyDescent="0.15">
      <c r="A11" s="51" t="s">
        <v>1634</v>
      </c>
      <c r="B11" s="47">
        <f>CharterFundRev!I108</f>
        <v>0</v>
      </c>
      <c r="C11" s="47">
        <f>CharterFundExp2!I550</f>
        <v>0</v>
      </c>
      <c r="D11" s="391">
        <f>AppropRes!G14</f>
        <v>0</v>
      </c>
    </row>
    <row r="12" spans="1:4" x14ac:dyDescent="0.15">
      <c r="A12" s="51" t="s">
        <v>1126</v>
      </c>
      <c r="B12" s="47">
        <f>InsResv!I18</f>
        <v>0</v>
      </c>
      <c r="C12" s="47">
        <f>InsResv!I49</f>
        <v>0</v>
      </c>
      <c r="D12" s="47">
        <f>+AppropRes!G15</f>
        <v>0</v>
      </c>
    </row>
    <row r="13" spans="1:4" x14ac:dyDescent="0.15">
      <c r="A13" s="51" t="s">
        <v>1488</v>
      </c>
      <c r="B13" s="47">
        <f>'CPP Fund'!I19</f>
        <v>0</v>
      </c>
      <c r="C13" s="47">
        <f>'CPP Fund'!I127</f>
        <v>0</v>
      </c>
      <c r="D13" s="47">
        <f>AppropRes!G16</f>
        <v>0</v>
      </c>
    </row>
    <row r="14" spans="1:4" hidden="1" x14ac:dyDescent="0.15">
      <c r="A14" s="51" t="s">
        <v>1639</v>
      </c>
      <c r="B14" s="47">
        <f>ARRAGrants!J88</f>
        <v>0</v>
      </c>
      <c r="C14" s="47">
        <f>ARRAGrants!J181</f>
        <v>0</v>
      </c>
      <c r="D14" s="391">
        <f>+AppropRes!G18</f>
        <v>0</v>
      </c>
    </row>
    <row r="15" spans="1:4" x14ac:dyDescent="0.15">
      <c r="A15" s="51" t="s">
        <v>962</v>
      </c>
      <c r="B15" s="47">
        <f>CapRes!I27</f>
        <v>0</v>
      </c>
      <c r="C15" s="47">
        <f>CapRes!I81</f>
        <v>0</v>
      </c>
      <c r="D15" s="47">
        <f>+AppropRes!G19</f>
        <v>0</v>
      </c>
    </row>
    <row r="16" spans="1:4" x14ac:dyDescent="0.15">
      <c r="A16" s="51" t="s">
        <v>994</v>
      </c>
      <c r="B16" s="47">
        <f>GovGrants!J88</f>
        <v>0</v>
      </c>
      <c r="C16" s="47">
        <f>GovGrants!J181</f>
        <v>0</v>
      </c>
      <c r="D16" s="47">
        <f>+AppropRes!G20</f>
        <v>0</v>
      </c>
    </row>
    <row r="17" spans="1:4" s="289" customFormat="1" x14ac:dyDescent="0.15">
      <c r="A17" s="51" t="s">
        <v>1120</v>
      </c>
      <c r="B17" s="47">
        <f>PupActiv!I19</f>
        <v>0</v>
      </c>
      <c r="C17" s="47">
        <f>PupActiv!I67</f>
        <v>0</v>
      </c>
      <c r="D17" s="47">
        <f>+AppropRes!G21</f>
        <v>0</v>
      </c>
    </row>
    <row r="18" spans="1:4" x14ac:dyDescent="0.15">
      <c r="A18" s="51" t="s">
        <v>370</v>
      </c>
      <c r="B18" s="47">
        <f>FullDayKOverride!I22</f>
        <v>0</v>
      </c>
      <c r="C18" s="47">
        <f>FullDayKOverride!I48</f>
        <v>0</v>
      </c>
      <c r="D18" s="391">
        <f>+AppropRes!G22</f>
        <v>0</v>
      </c>
    </row>
    <row r="19" spans="1:4" x14ac:dyDescent="0.15">
      <c r="A19" s="51" t="s">
        <v>964</v>
      </c>
      <c r="B19" s="47">
        <f>Transp!I22</f>
        <v>0</v>
      </c>
      <c r="C19" s="47">
        <f>Transp!I47</f>
        <v>0</v>
      </c>
      <c r="D19" s="47">
        <f>+AppropRes!G23</f>
        <v>0</v>
      </c>
    </row>
    <row r="20" spans="1:4" x14ac:dyDescent="0.15">
      <c r="A20" s="51" t="s">
        <v>1121</v>
      </c>
      <c r="B20" s="47">
        <f>OthSpecRev!I18</f>
        <v>0</v>
      </c>
      <c r="C20" s="47">
        <f>OthSpecRev!I69</f>
        <v>0</v>
      </c>
      <c r="D20" s="47">
        <f>+AppropRes!G24</f>
        <v>0</v>
      </c>
    </row>
    <row r="21" spans="1:4" x14ac:dyDescent="0.15">
      <c r="A21" s="51" t="s">
        <v>966</v>
      </c>
      <c r="B21" s="47">
        <f>BondRedm!I24</f>
        <v>0</v>
      </c>
      <c r="C21" s="47">
        <f>BondRedm!I46</f>
        <v>0</v>
      </c>
      <c r="D21" s="47">
        <f>+AppropRes!G25</f>
        <v>0</v>
      </c>
    </row>
    <row r="22" spans="1:4" x14ac:dyDescent="0.15">
      <c r="A22" s="51" t="s">
        <v>1670</v>
      </c>
      <c r="B22" s="47">
        <f>[1]NonVoterDebt!I25</f>
        <v>0</v>
      </c>
      <c r="C22" s="47">
        <f>[1]NonVoterDebt!I47</f>
        <v>0</v>
      </c>
      <c r="D22" s="47">
        <f>+[1]AppropRes!G27</f>
        <v>0</v>
      </c>
    </row>
    <row r="23" spans="1:4" x14ac:dyDescent="0.15">
      <c r="A23" s="51" t="s">
        <v>967</v>
      </c>
      <c r="B23" s="47">
        <f>BuildFund!I20</f>
        <v>0</v>
      </c>
      <c r="C23" s="47">
        <f>BuildFund!I53</f>
        <v>0</v>
      </c>
      <c r="D23" s="47">
        <f>+AppropRes!G27</f>
        <v>0</v>
      </c>
    </row>
    <row r="24" spans="1:4" x14ac:dyDescent="0.15">
      <c r="A24" s="114" t="s">
        <v>1122</v>
      </c>
      <c r="B24" s="47">
        <f>SpecBuild!I17</f>
        <v>0</v>
      </c>
      <c r="C24" s="47">
        <f>SpecBuild!I40</f>
        <v>0</v>
      </c>
      <c r="D24" s="47">
        <f>+AppropRes!G28</f>
        <v>0</v>
      </c>
    </row>
    <row r="25" spans="1:4" x14ac:dyDescent="0.15">
      <c r="A25" s="51" t="s">
        <v>975</v>
      </c>
      <c r="B25" s="47">
        <f>CapResCapPrj!I27</f>
        <v>0</v>
      </c>
      <c r="C25" s="47">
        <f>CapResCapPrj!I90</f>
        <v>0</v>
      </c>
      <c r="D25" s="47">
        <f>+AppropRes!G29</f>
        <v>0</v>
      </c>
    </row>
    <row r="26" spans="1:4" x14ac:dyDescent="0.15">
      <c r="A26" s="51" t="s">
        <v>1123</v>
      </c>
      <c r="B26" s="47">
        <f>FoodServ!I24</f>
        <v>0</v>
      </c>
      <c r="C26" s="47">
        <f>FoodServ!I57</f>
        <v>0</v>
      </c>
      <c r="D26" s="47">
        <f>+AppropRes!G31</f>
        <v>0</v>
      </c>
    </row>
    <row r="27" spans="1:4" x14ac:dyDescent="0.15">
      <c r="A27" s="51" t="s">
        <v>1124</v>
      </c>
      <c r="B27" s="47">
        <f>OtherEnterprise!I19</f>
        <v>0</v>
      </c>
      <c r="C27" s="47">
        <f>OtherEnterprise!I47</f>
        <v>0</v>
      </c>
      <c r="D27" s="47">
        <f>+AppropRes!G32</f>
        <v>0</v>
      </c>
    </row>
    <row r="28" spans="1:4" x14ac:dyDescent="0.15">
      <c r="A28" s="51" t="s">
        <v>1200</v>
      </c>
      <c r="B28" s="47">
        <f>RiskRelated!I17</f>
        <v>0</v>
      </c>
      <c r="C28" s="47">
        <f>RiskRelated!I45</f>
        <v>0</v>
      </c>
      <c r="D28" s="47">
        <f>+AppropRes!G34</f>
        <v>0</v>
      </c>
    </row>
    <row r="29" spans="1:4" x14ac:dyDescent="0.15">
      <c r="A29" s="51" t="s">
        <v>1201</v>
      </c>
      <c r="B29" s="47">
        <f>OtherInternal!I21</f>
        <v>0</v>
      </c>
      <c r="C29" s="47">
        <f>OtherInternal!I49</f>
        <v>0</v>
      </c>
      <c r="D29" s="47">
        <f>+AppropRes!G35</f>
        <v>0</v>
      </c>
    </row>
    <row r="30" spans="1:4" x14ac:dyDescent="0.15">
      <c r="A30" s="51" t="s">
        <v>1202</v>
      </c>
      <c r="B30" s="47">
        <f>PupilActAgency!I16</f>
        <v>0</v>
      </c>
      <c r="C30" s="47">
        <f>PupilActAgency!I59</f>
        <v>0</v>
      </c>
      <c r="D30" s="47">
        <f>+AppropRes!G37</f>
        <v>0</v>
      </c>
    </row>
    <row r="31" spans="1:4" x14ac:dyDescent="0.15">
      <c r="A31" s="51" t="s">
        <v>1203</v>
      </c>
      <c r="B31" s="47">
        <f>'Trust&amp;Agency'!I15</f>
        <v>0</v>
      </c>
      <c r="C31" s="47">
        <f>'Trust&amp;Agency'!I58</f>
        <v>0</v>
      </c>
      <c r="D31" s="47">
        <f>+AppropRes!G38</f>
        <v>0</v>
      </c>
    </row>
    <row r="32" spans="1:4" x14ac:dyDescent="0.15">
      <c r="A32" s="51" t="s">
        <v>1645</v>
      </c>
      <c r="B32" s="47">
        <f>'Foundation Fund'!I15</f>
        <v>0</v>
      </c>
      <c r="C32" s="47">
        <f>'Foundation Fund'!I58</f>
        <v>0</v>
      </c>
      <c r="D32" s="47">
        <f>+AppropRes!G39</f>
        <v>0</v>
      </c>
    </row>
    <row r="33" spans="1:4" x14ac:dyDescent="0.15">
      <c r="A33" s="51" t="s">
        <v>1204</v>
      </c>
      <c r="B33" s="47">
        <f>+Arbitrage!I22</f>
        <v>0</v>
      </c>
      <c r="C33" s="47">
        <f>+Arbitrage!H33</f>
        <v>0</v>
      </c>
      <c r="D33" s="47">
        <f>+AppropRes!G40</f>
        <v>0</v>
      </c>
    </row>
    <row r="35" spans="1:4" x14ac:dyDescent="0.15">
      <c r="A35" s="109" t="s">
        <v>740</v>
      </c>
      <c r="B35" s="129">
        <f>SUM(B10:B33)</f>
        <v>0</v>
      </c>
      <c r="C35" s="129">
        <f>SUM(C10:C33)</f>
        <v>0</v>
      </c>
      <c r="D35" s="129">
        <f>SUM(D10:D33)</f>
        <v>0</v>
      </c>
    </row>
  </sheetData>
  <sheetProtection formatCells="0" formatColumns="0" formatRows="0"/>
  <phoneticPr fontId="15" type="noConversion"/>
  <pageMargins left="0.75" right="0.75" top="1" bottom="1" header="0.5" footer="0.5"/>
  <pageSetup firstPageNumber="55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/>
  </sheetViews>
  <sheetFormatPr defaultColWidth="12" defaultRowHeight="10.5" x14ac:dyDescent="0.15"/>
  <cols>
    <col min="1" max="1" width="66.33203125" customWidth="1"/>
    <col min="2" max="4" width="22.83203125" customWidth="1"/>
  </cols>
  <sheetData>
    <row r="1" spans="1:5" x14ac:dyDescent="0.15">
      <c r="A1">
        <f>+'Page 1 - FY2014-15'!B5</f>
        <v>0</v>
      </c>
      <c r="B1" s="17"/>
      <c r="C1" s="17"/>
      <c r="D1" s="12"/>
      <c r="E1" s="17"/>
    </row>
    <row r="2" spans="1:5" ht="19.5" x14ac:dyDescent="0.35">
      <c r="A2" s="52" t="s">
        <v>1205</v>
      </c>
      <c r="B2" s="17"/>
      <c r="C2" s="17"/>
      <c r="D2" s="17"/>
      <c r="E2" s="17"/>
    </row>
    <row r="3" spans="1:5" x14ac:dyDescent="0.15">
      <c r="E3" s="17"/>
    </row>
    <row r="4" spans="1:5" ht="15.75" x14ac:dyDescent="0.25">
      <c r="A4" s="25"/>
      <c r="B4" s="53" t="s">
        <v>1206</v>
      </c>
      <c r="C4" s="53" t="s">
        <v>1206</v>
      </c>
      <c r="D4" s="53" t="s">
        <v>1207</v>
      </c>
    </row>
    <row r="5" spans="1:5" ht="15.75" x14ac:dyDescent="0.25">
      <c r="A5" s="54" t="s">
        <v>1208</v>
      </c>
      <c r="B5" s="54" t="s">
        <v>1209</v>
      </c>
      <c r="C5" s="54" t="s">
        <v>1211</v>
      </c>
      <c r="D5" s="54" t="s">
        <v>1211</v>
      </c>
    </row>
    <row r="6" spans="1:5" ht="16.5" thickBot="1" x14ac:dyDescent="0.3">
      <c r="A6" s="26"/>
      <c r="B6" s="55" t="s">
        <v>1211</v>
      </c>
      <c r="C6" s="55" t="s">
        <v>1212</v>
      </c>
      <c r="D6" s="26"/>
    </row>
    <row r="7" spans="1:5" ht="16.5" thickTop="1" x14ac:dyDescent="0.25">
      <c r="A7" s="56" t="s">
        <v>1217</v>
      </c>
      <c r="B7" s="57">
        <f>+'Budget Summaries 2'!N7</f>
        <v>0</v>
      </c>
      <c r="C7" s="57">
        <f>+'Budget Summaries 4'!H8</f>
        <v>0</v>
      </c>
      <c r="D7" s="57">
        <f t="shared" ref="D7:D17" si="0">SUM(B7:C7)</f>
        <v>0</v>
      </c>
    </row>
    <row r="8" spans="1:5" ht="15.75" x14ac:dyDescent="0.25">
      <c r="A8" s="56" t="s">
        <v>1218</v>
      </c>
      <c r="B8" s="57">
        <f>+'Budget Summaries 2'!N17+'Budget Summaries 2'!N19</f>
        <v>0</v>
      </c>
      <c r="C8" s="57">
        <f>+'Budget Summaries 4'!H14+'Budget Summaries 4'!H16</f>
        <v>0</v>
      </c>
      <c r="D8" s="57">
        <f>SUM(B8:C8)</f>
        <v>0</v>
      </c>
    </row>
    <row r="9" spans="1:5" ht="15.75" x14ac:dyDescent="0.25">
      <c r="A9" s="56" t="s">
        <v>1216</v>
      </c>
      <c r="B9" s="57">
        <f>'Budget Summaries 2'!N20</f>
        <v>0</v>
      </c>
      <c r="C9" s="57">
        <f>'Budget Summaries 4'!H17</f>
        <v>0</v>
      </c>
      <c r="D9" s="57">
        <f>SUM(B9:C9)</f>
        <v>0</v>
      </c>
    </row>
    <row r="10" spans="1:5" ht="16.5" thickBot="1" x14ac:dyDescent="0.3">
      <c r="A10" s="56" t="s">
        <v>1219</v>
      </c>
      <c r="B10" s="57">
        <f>+'Budget Summaries 2'!N18</f>
        <v>0</v>
      </c>
      <c r="C10" s="57">
        <f>'Budget Summaries 4'!H15</f>
        <v>0</v>
      </c>
      <c r="D10" s="57">
        <f t="shared" si="0"/>
        <v>0</v>
      </c>
    </row>
    <row r="11" spans="1:5" ht="17.25" thickTop="1" thickBot="1" x14ac:dyDescent="0.3">
      <c r="A11" s="58" t="s">
        <v>1220</v>
      </c>
      <c r="B11" s="59">
        <f>SUM(B7:B10)</f>
        <v>0</v>
      </c>
      <c r="C11" s="59">
        <f>SUM(C7:C10)</f>
        <v>0</v>
      </c>
      <c r="D11" s="59">
        <f t="shared" si="0"/>
        <v>0</v>
      </c>
    </row>
    <row r="12" spans="1:5" ht="16.5" thickTop="1" x14ac:dyDescent="0.25">
      <c r="A12" s="56" t="s">
        <v>1221</v>
      </c>
      <c r="B12" s="57">
        <f>+'Budget Summaries 3'!N22</f>
        <v>0</v>
      </c>
      <c r="C12" s="57">
        <f>+'Budget Summaries 5'!H22</f>
        <v>0</v>
      </c>
      <c r="D12" s="57">
        <f t="shared" si="0"/>
        <v>0</v>
      </c>
    </row>
    <row r="13" spans="1:5" ht="15.75" x14ac:dyDescent="0.25">
      <c r="A13" s="56" t="s">
        <v>1222</v>
      </c>
      <c r="B13" s="57">
        <f>+'Budget Summaries 3'!N25</f>
        <v>0</v>
      </c>
      <c r="C13" s="57">
        <f>+'Budget Summaries 5'!H25</f>
        <v>0</v>
      </c>
      <c r="D13" s="57">
        <f t="shared" si="0"/>
        <v>0</v>
      </c>
    </row>
    <row r="14" spans="1:5" ht="16.5" thickBot="1" x14ac:dyDescent="0.3">
      <c r="A14" s="60" t="s">
        <v>1144</v>
      </c>
      <c r="B14" s="61">
        <f>+'Budget Summaries 3'!N26</f>
        <v>0</v>
      </c>
      <c r="C14" s="61">
        <f>+'Budget Summaries 5'!H26</f>
        <v>0</v>
      </c>
      <c r="D14" s="57">
        <f t="shared" si="0"/>
        <v>0</v>
      </c>
    </row>
    <row r="15" spans="1:5" ht="17.25" thickTop="1" thickBot="1" x14ac:dyDescent="0.3">
      <c r="A15" s="58" t="s">
        <v>1528</v>
      </c>
      <c r="B15" s="59">
        <f>SUM(B12:B14)</f>
        <v>0</v>
      </c>
      <c r="C15" s="59">
        <f>SUM(C12:C14)</f>
        <v>0</v>
      </c>
      <c r="D15" s="59">
        <f t="shared" si="0"/>
        <v>0</v>
      </c>
    </row>
    <row r="16" spans="1:5" ht="17.25" thickTop="1" thickBot="1" x14ac:dyDescent="0.3">
      <c r="A16" s="56" t="s">
        <v>1353</v>
      </c>
      <c r="B16" s="61">
        <f>+'Budget Summaries 3'!N27</f>
        <v>0</v>
      </c>
      <c r="C16" s="61">
        <f>+'Budget Summaries 5'!H27</f>
        <v>0</v>
      </c>
      <c r="D16" s="59">
        <f t="shared" si="0"/>
        <v>0</v>
      </c>
    </row>
    <row r="17" spans="1:4" ht="17.25" thickTop="1" thickBot="1" x14ac:dyDescent="0.3">
      <c r="A17" s="58" t="s">
        <v>1354</v>
      </c>
      <c r="B17" s="62">
        <f>B15+B16</f>
        <v>0</v>
      </c>
      <c r="C17" s="62">
        <f>C15+C16</f>
        <v>0</v>
      </c>
      <c r="D17" s="59">
        <f t="shared" si="0"/>
        <v>0</v>
      </c>
    </row>
    <row r="18" spans="1:4" ht="11.25" thickTop="1" x14ac:dyDescent="0.15"/>
  </sheetData>
  <sheetProtection formatCells="0" formatColumns="0" formatRows="0"/>
  <phoneticPr fontId="15" type="noConversion"/>
  <pageMargins left="0.75" right="0.75" top="1" bottom="1" header="0.5" footer="0.5"/>
  <pageSetup firstPageNumber="56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90" workbookViewId="0">
      <selection activeCell="B23" sqref="B23"/>
    </sheetView>
  </sheetViews>
  <sheetFormatPr defaultColWidth="12" defaultRowHeight="11.25" customHeight="1" x14ac:dyDescent="0.15"/>
  <cols>
    <col min="1" max="1" width="32.83203125" customWidth="1"/>
    <col min="2" max="5" width="15.83203125" customWidth="1"/>
    <col min="6" max="6" width="15.83203125" style="289" hidden="1" customWidth="1"/>
    <col min="7" max="14" width="15.83203125" customWidth="1"/>
  </cols>
  <sheetData>
    <row r="1" spans="1:14" ht="11.25" customHeight="1" x14ac:dyDescent="0.15">
      <c r="A1">
        <f>+'Page 1 - FY2014-15'!B5</f>
        <v>0</v>
      </c>
      <c r="B1" s="17"/>
      <c r="C1" s="17"/>
      <c r="D1" s="17"/>
      <c r="E1" s="17"/>
      <c r="F1" s="377"/>
      <c r="G1" s="17"/>
      <c r="H1" s="17"/>
      <c r="I1" s="17"/>
      <c r="J1" s="17"/>
      <c r="K1" s="17"/>
      <c r="L1" s="17"/>
      <c r="M1" s="17"/>
      <c r="N1" s="12" t="s">
        <v>1355</v>
      </c>
    </row>
    <row r="2" spans="1:14" ht="15.75" x14ac:dyDescent="0.25">
      <c r="A2" s="63" t="s">
        <v>1356</v>
      </c>
      <c r="B2" s="17"/>
      <c r="C2" s="17"/>
      <c r="D2" s="17"/>
      <c r="E2" s="17"/>
      <c r="F2" s="377"/>
      <c r="G2" s="17"/>
      <c r="H2" s="17"/>
      <c r="I2" s="17"/>
      <c r="J2" s="17"/>
      <c r="K2" s="17"/>
      <c r="L2" s="17"/>
      <c r="M2" s="17"/>
      <c r="N2" s="17"/>
    </row>
    <row r="3" spans="1:14" ht="11.25" customHeight="1" x14ac:dyDescent="0.15">
      <c r="F3"/>
    </row>
    <row r="4" spans="1:14" ht="11.25" customHeight="1" x14ac:dyDescent="0.2">
      <c r="A4" s="27"/>
      <c r="B4" s="28"/>
      <c r="C4" s="390" t="s">
        <v>1633</v>
      </c>
      <c r="D4" s="64" t="s">
        <v>1360</v>
      </c>
      <c r="E4" s="64" t="s">
        <v>783</v>
      </c>
      <c r="F4" s="64" t="s">
        <v>1632</v>
      </c>
      <c r="G4" s="64" t="s">
        <v>1357</v>
      </c>
      <c r="H4" s="64" t="s">
        <v>1358</v>
      </c>
      <c r="I4" s="64" t="s">
        <v>1359</v>
      </c>
      <c r="J4" s="64" t="s">
        <v>1361</v>
      </c>
      <c r="K4" s="64" t="s">
        <v>1362</v>
      </c>
      <c r="L4" s="64" t="s">
        <v>1363</v>
      </c>
      <c r="M4" s="64" t="s">
        <v>1364</v>
      </c>
      <c r="N4" s="64" t="s">
        <v>1206</v>
      </c>
    </row>
    <row r="5" spans="1:14" ht="11.25" customHeight="1" x14ac:dyDescent="0.2">
      <c r="A5" s="65" t="s">
        <v>1208</v>
      </c>
      <c r="B5" s="65" t="s">
        <v>1365</v>
      </c>
      <c r="C5" s="65" t="s">
        <v>784</v>
      </c>
      <c r="D5" s="65" t="s">
        <v>1366</v>
      </c>
      <c r="E5" s="65" t="s">
        <v>784</v>
      </c>
      <c r="F5" s="65" t="s">
        <v>1475</v>
      </c>
      <c r="G5" s="65" t="s">
        <v>1366</v>
      </c>
      <c r="H5" s="65" t="s">
        <v>1475</v>
      </c>
      <c r="I5" s="65" t="s">
        <v>1476</v>
      </c>
      <c r="J5" s="65" t="s">
        <v>1477</v>
      </c>
      <c r="K5" s="65" t="s">
        <v>1478</v>
      </c>
      <c r="L5" s="65" t="s">
        <v>1479</v>
      </c>
      <c r="M5" s="65" t="s">
        <v>1478</v>
      </c>
      <c r="N5" s="65" t="s">
        <v>1209</v>
      </c>
    </row>
    <row r="6" spans="1:14" ht="11.25" customHeight="1" thickBot="1" x14ac:dyDescent="0.25">
      <c r="A6" s="29"/>
      <c r="B6" s="66" t="s">
        <v>1480</v>
      </c>
      <c r="C6" s="66" t="s">
        <v>1480</v>
      </c>
      <c r="D6" s="66" t="s">
        <v>1480</v>
      </c>
      <c r="E6" s="66" t="s">
        <v>1480</v>
      </c>
      <c r="F6" s="67" t="s">
        <v>432</v>
      </c>
      <c r="G6" s="66" t="s">
        <v>1480</v>
      </c>
      <c r="H6" s="67" t="s">
        <v>432</v>
      </c>
      <c r="I6" s="66" t="s">
        <v>1480</v>
      </c>
      <c r="J6" s="66" t="s">
        <v>1481</v>
      </c>
      <c r="K6" s="66" t="s">
        <v>1480</v>
      </c>
      <c r="L6" s="66" t="s">
        <v>1481</v>
      </c>
      <c r="M6" s="66" t="s">
        <v>1481</v>
      </c>
      <c r="N6" s="66" t="s">
        <v>1211</v>
      </c>
    </row>
    <row r="7" spans="1:14" ht="11.25" customHeight="1" thickTop="1" thickBot="1" x14ac:dyDescent="0.25">
      <c r="A7" s="67" t="s">
        <v>1217</v>
      </c>
      <c r="B7" s="68">
        <f>GenFundREV!I5</f>
        <v>0</v>
      </c>
      <c r="C7" s="68">
        <f>CharterFundRev!I5</f>
        <v>0</v>
      </c>
      <c r="D7" s="68">
        <f>InsResv!I6</f>
        <v>0</v>
      </c>
      <c r="E7" s="68">
        <f>'CPP Fund'!I7</f>
        <v>0</v>
      </c>
      <c r="F7" s="68">
        <f>ARRAGrants!J6</f>
        <v>0</v>
      </c>
      <c r="G7" s="68">
        <f>CapRes!I6</f>
        <v>0</v>
      </c>
      <c r="H7" s="68">
        <f>GovGrants!J6</f>
        <v>0</v>
      </c>
      <c r="I7" s="68">
        <f>PupActiv!I6</f>
        <v>0</v>
      </c>
      <c r="J7" s="68">
        <f>Transp!I6+OthSpecRev!I7+FullDayKOverride!I6</f>
        <v>0</v>
      </c>
      <c r="K7" s="68">
        <f>FoodServ!I6</f>
        <v>0</v>
      </c>
      <c r="L7" s="68">
        <f>OtherEnterprise!I6</f>
        <v>0</v>
      </c>
      <c r="M7" s="68">
        <f>+RiskRelated!I7+OtherInternal!I6</f>
        <v>0</v>
      </c>
      <c r="N7" s="68">
        <f>SUM(B7:M7)</f>
        <v>0</v>
      </c>
    </row>
    <row r="8" spans="1:14" ht="11.25" customHeight="1" thickTop="1" x14ac:dyDescent="0.2">
      <c r="A8" s="69" t="s">
        <v>1482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11.25" customHeight="1" x14ac:dyDescent="0.2">
      <c r="A9" s="71" t="s">
        <v>1483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4" ht="11.25" customHeight="1" x14ac:dyDescent="0.2">
      <c r="A10" s="69" t="s">
        <v>1484</v>
      </c>
      <c r="B10" s="73">
        <f>GenFundREV!I7</f>
        <v>0</v>
      </c>
      <c r="C10" s="73">
        <f>CharterFundRev!I7</f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3">
        <f t="shared" ref="N10:N20" si="0">SUM(B10:M10)</f>
        <v>0</v>
      </c>
    </row>
    <row r="11" spans="1:14" ht="11.25" customHeight="1" x14ac:dyDescent="0.2">
      <c r="A11" s="69" t="s">
        <v>1532</v>
      </c>
      <c r="B11" s="73">
        <f>GenFundREV!I51</f>
        <v>0</v>
      </c>
      <c r="C11" s="73">
        <f>CharterFundRev!I51</f>
        <v>0</v>
      </c>
      <c r="D11" s="73">
        <f>InsResv!I11</f>
        <v>0</v>
      </c>
      <c r="E11" s="74"/>
      <c r="F11" s="74"/>
      <c r="G11" s="73">
        <f>CapRes!I14</f>
        <v>0</v>
      </c>
      <c r="H11" s="74"/>
      <c r="I11" s="74"/>
      <c r="J11" s="74"/>
      <c r="K11" s="74"/>
      <c r="L11" s="74"/>
      <c r="M11" s="74"/>
      <c r="N11" s="73">
        <f t="shared" si="0"/>
        <v>0</v>
      </c>
    </row>
    <row r="12" spans="1:14" ht="11.25" customHeight="1" thickBot="1" x14ac:dyDescent="0.25">
      <c r="A12" s="67" t="s">
        <v>1533</v>
      </c>
      <c r="B12" s="68">
        <f>GenFundREV!I8</f>
        <v>0</v>
      </c>
      <c r="C12" s="68">
        <f>CharterFundRev!I8</f>
        <v>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3">
        <f t="shared" si="0"/>
        <v>0</v>
      </c>
    </row>
    <row r="13" spans="1:14" ht="11.25" customHeight="1" thickTop="1" x14ac:dyDescent="0.2">
      <c r="A13" s="71" t="s">
        <v>1534</v>
      </c>
      <c r="B13" s="215">
        <f>GenFundREV!I45-GenFundREV!I7-GenFundREV!I8</f>
        <v>0</v>
      </c>
      <c r="C13" s="215">
        <f>CharterFundRev!I45-CharterFundRev!I7-CharterFundRev!I8</f>
        <v>0</v>
      </c>
      <c r="D13" s="215">
        <f>InsResv!I8+InsResv!I9+InsResv!I10</f>
        <v>0</v>
      </c>
      <c r="E13" s="215">
        <f>'CPP Fund'!I9</f>
        <v>0</v>
      </c>
      <c r="F13" s="215">
        <f>ARRAGrants!J65</f>
        <v>0</v>
      </c>
      <c r="G13" s="215">
        <f>CapRes!I8+CapRes!I9+CapRes!I10+CapRes!I11+CapRes!I12</f>
        <v>0</v>
      </c>
      <c r="H13" s="215">
        <f>GovGrants!J65</f>
        <v>0</v>
      </c>
      <c r="I13" s="215">
        <f>PupActiv!I8+PupActiv!I9+PupActiv!I10+PupActiv!I11</f>
        <v>0</v>
      </c>
      <c r="J13" s="215">
        <f>SUM(Transp!I8:I15)+OthSpecRev!I9+OthSpecRev!I10+SUM(FullDayKOverride!I8:I15)</f>
        <v>0</v>
      </c>
      <c r="K13" s="215">
        <f>SUM(FoodServ!I9:I12)</f>
        <v>0</v>
      </c>
      <c r="L13" s="215">
        <f>SUM(OtherEnterprise!I9:I13)</f>
        <v>0</v>
      </c>
      <c r="M13" s="215">
        <f>SUM(RiskRelated!I9:I11)+SUM(OtherInternal!I8:I15)</f>
        <v>0</v>
      </c>
      <c r="N13" s="224">
        <f t="shared" si="0"/>
        <v>0</v>
      </c>
    </row>
    <row r="14" spans="1:14" ht="11.25" customHeight="1" x14ac:dyDescent="0.2">
      <c r="A14" s="216" t="s">
        <v>1143</v>
      </c>
      <c r="B14" s="217">
        <f>GenFundREV!I48</f>
        <v>0</v>
      </c>
      <c r="C14" s="217">
        <f>CharterFundRev!I48</f>
        <v>0</v>
      </c>
      <c r="D14" s="217"/>
      <c r="E14" s="217">
        <f>'CPP Fund'!I10</f>
        <v>0</v>
      </c>
      <c r="F14" s="217"/>
      <c r="G14" s="217">
        <f>CapRes!I13</f>
        <v>0</v>
      </c>
      <c r="H14" s="217"/>
      <c r="I14" s="217"/>
      <c r="J14" s="217"/>
      <c r="K14" s="217"/>
      <c r="L14" s="217"/>
      <c r="M14" s="217"/>
      <c r="N14" s="223">
        <f t="shared" si="0"/>
        <v>0</v>
      </c>
    </row>
    <row r="15" spans="1:14" ht="11.25" customHeight="1" x14ac:dyDescent="0.2">
      <c r="A15" s="71" t="s">
        <v>1535</v>
      </c>
      <c r="B15" s="215">
        <f>GenFundREV!I75-GenFundREV!I51</f>
        <v>0</v>
      </c>
      <c r="C15" s="215">
        <f>CharterFundRev!I74-CharterFundRev!I51</f>
        <v>0</v>
      </c>
      <c r="D15" s="215"/>
      <c r="E15" s="215">
        <f>'CPP Fund'!I11</f>
        <v>0</v>
      </c>
      <c r="F15" s="215">
        <f>ARRAGrants!J23</f>
        <v>0</v>
      </c>
      <c r="G15" s="215">
        <f>CapRes!I15+CapRes!I16+CapRes!I17</f>
        <v>0</v>
      </c>
      <c r="H15" s="215">
        <f>GovGrants!J23</f>
        <v>0</v>
      </c>
      <c r="I15" s="215">
        <f>PupActiv!I12</f>
        <v>0</v>
      </c>
      <c r="J15" s="215">
        <f>Transp!I16+OthSpecRev!I11+FullDayKOverride!I16</f>
        <v>0</v>
      </c>
      <c r="K15" s="215">
        <f>FoodServ!I13+FoodServ!I14+FoodServ!I15</f>
        <v>0</v>
      </c>
      <c r="L15" s="215"/>
      <c r="M15" s="215"/>
      <c r="N15" s="223">
        <f t="shared" si="0"/>
        <v>0</v>
      </c>
    </row>
    <row r="16" spans="1:14" ht="11.25" customHeight="1" x14ac:dyDescent="0.2">
      <c r="A16" s="71" t="s">
        <v>1536</v>
      </c>
      <c r="B16" s="215">
        <f>GenFundREV!I91</f>
        <v>0</v>
      </c>
      <c r="C16" s="215">
        <f>CharterFundRev!I89</f>
        <v>0</v>
      </c>
      <c r="D16" s="215"/>
      <c r="E16" s="215">
        <f>'CPP Fund'!I12</f>
        <v>0</v>
      </c>
      <c r="F16" s="215">
        <f>ARRAGrants!J50</f>
        <v>0</v>
      </c>
      <c r="G16" s="215">
        <f>CapRes!I18</f>
        <v>0</v>
      </c>
      <c r="H16" s="215">
        <f>GovGrants!J50</f>
        <v>0</v>
      </c>
      <c r="I16" s="215">
        <f>PupActiv!I13</f>
        <v>0</v>
      </c>
      <c r="J16" s="215">
        <f>OthSpecRev!I12</f>
        <v>0</v>
      </c>
      <c r="K16" s="215">
        <f>FoodServ!I16+FoodServ!I17+FoodServ!I18</f>
        <v>0</v>
      </c>
      <c r="L16" s="215"/>
      <c r="M16" s="215"/>
      <c r="N16" s="223">
        <f t="shared" si="0"/>
        <v>0</v>
      </c>
    </row>
    <row r="17" spans="1:14" ht="11.25" customHeight="1" thickBot="1" x14ac:dyDescent="0.25">
      <c r="A17" s="67" t="s">
        <v>1537</v>
      </c>
      <c r="B17" s="693">
        <f>SUM(B8:B16)</f>
        <v>0</v>
      </c>
      <c r="C17" s="693">
        <f t="shared" ref="C17:M17" si="1">SUM(C8:C16)</f>
        <v>0</v>
      </c>
      <c r="D17" s="68">
        <f t="shared" si="1"/>
        <v>0</v>
      </c>
      <c r="E17" s="68">
        <f>SUM(E8:E16)</f>
        <v>0</v>
      </c>
      <c r="F17" s="68">
        <f>SUM(F8:F16)</f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0</v>
      </c>
      <c r="L17" s="68">
        <f t="shared" si="1"/>
        <v>0</v>
      </c>
      <c r="M17" s="68">
        <f t="shared" si="1"/>
        <v>0</v>
      </c>
      <c r="N17" s="225">
        <f t="shared" si="0"/>
        <v>0</v>
      </c>
    </row>
    <row r="18" spans="1:14" ht="11.25" customHeight="1" thickTop="1" x14ac:dyDescent="0.2">
      <c r="A18" s="69" t="s">
        <v>1605</v>
      </c>
      <c r="B18" s="694">
        <f>GenFundREV!I94</f>
        <v>0</v>
      </c>
      <c r="C18" s="694">
        <f>CharterFundRev!I92</f>
        <v>0</v>
      </c>
      <c r="D18" s="73">
        <f>InsResv!I12</f>
        <v>0</v>
      </c>
      <c r="E18" s="73">
        <f>'CPP Fund'!I13</f>
        <v>0</v>
      </c>
      <c r="F18" s="73">
        <f>ARRAGrants!J71</f>
        <v>0</v>
      </c>
      <c r="G18" s="73">
        <f>CapRes!I19</f>
        <v>0</v>
      </c>
      <c r="H18" s="73">
        <f>GovGrants!J71</f>
        <v>0</v>
      </c>
      <c r="I18" s="73">
        <f>PupActiv!I14</f>
        <v>0</v>
      </c>
      <c r="J18" s="73">
        <f>Transp!I17+OthSpecRev!I13+FullDayKOverride!I17</f>
        <v>0</v>
      </c>
      <c r="K18" s="73">
        <f>FoodServ!I19</f>
        <v>0</v>
      </c>
      <c r="L18" s="73">
        <f>OtherEnterprise!I14</f>
        <v>0</v>
      </c>
      <c r="M18" s="73">
        <f>RiskRelated!I12+OtherInternal!I16</f>
        <v>0</v>
      </c>
      <c r="N18" s="73">
        <f t="shared" si="0"/>
        <v>0</v>
      </c>
    </row>
    <row r="19" spans="1:14" ht="11.25" customHeight="1" x14ac:dyDescent="0.2">
      <c r="A19" s="69" t="s">
        <v>1538</v>
      </c>
      <c r="B19" s="694">
        <f>GenFundREV!I95+GenFundREV!I96+GenFundREV!I97</f>
        <v>0</v>
      </c>
      <c r="C19" s="694">
        <f>CharterFundRev!I93+CharterFundRev!I94+CharterFundRev!I95</f>
        <v>0</v>
      </c>
      <c r="D19" s="73">
        <f>InsResv!I14</f>
        <v>0</v>
      </c>
      <c r="E19" s="73">
        <f>'CPP Fund'!I15</f>
        <v>0</v>
      </c>
      <c r="F19" s="73">
        <f>ARRAGrants!J86</f>
        <v>0</v>
      </c>
      <c r="G19" s="73">
        <f>CapRes!I20+CapRes!I21+CapRes!I23</f>
        <v>0</v>
      </c>
      <c r="H19" s="73">
        <f>GovGrants!J86</f>
        <v>0</v>
      </c>
      <c r="I19" s="73">
        <f>PupActiv!I15</f>
        <v>0</v>
      </c>
      <c r="J19" s="73">
        <f>Transp!I18+OthSpecRev!I14+FullDayKOverride!I18</f>
        <v>0</v>
      </c>
      <c r="K19" s="73">
        <f>FoodServ!I20</f>
        <v>0</v>
      </c>
      <c r="L19" s="73">
        <f>OtherEnterprise!I15</f>
        <v>0</v>
      </c>
      <c r="M19" s="73">
        <f>RiskRelated!I13+OtherInternal!I17</f>
        <v>0</v>
      </c>
      <c r="N19" s="73">
        <f t="shared" si="0"/>
        <v>0</v>
      </c>
    </row>
    <row r="20" spans="1:14" ht="11.25" customHeight="1" thickBot="1" x14ac:dyDescent="0.25">
      <c r="A20" s="67" t="s">
        <v>1539</v>
      </c>
      <c r="B20" s="693">
        <f>-GenFundREV!I108</f>
        <v>0</v>
      </c>
      <c r="C20" s="693">
        <f>-CharterFundRev!I106</f>
        <v>0</v>
      </c>
      <c r="D20" s="68">
        <f>InsResv!I13</f>
        <v>0</v>
      </c>
      <c r="E20" s="68">
        <f>'CPP Fund'!I14</f>
        <v>0</v>
      </c>
      <c r="F20" s="68"/>
      <c r="G20" s="68">
        <f>CapRes!I22</f>
        <v>0</v>
      </c>
      <c r="H20" s="68"/>
      <c r="I20" s="68"/>
      <c r="J20" s="68"/>
      <c r="K20" s="68"/>
      <c r="L20" s="68"/>
      <c r="M20" s="68"/>
      <c r="N20" s="68">
        <f t="shared" si="0"/>
        <v>0</v>
      </c>
    </row>
    <row r="21" spans="1:14" ht="11.25" customHeight="1" thickTop="1" thickBot="1" x14ac:dyDescent="0.25">
      <c r="A21" s="67" t="s">
        <v>1540</v>
      </c>
      <c r="B21" s="68">
        <f>SUM(B17:B20)</f>
        <v>0</v>
      </c>
      <c r="C21" s="68">
        <f t="shared" ref="C21:N21" si="2">SUM(C17:C20)</f>
        <v>0</v>
      </c>
      <c r="D21" s="68">
        <f>SUM(D17:D20)</f>
        <v>0</v>
      </c>
      <c r="E21" s="68">
        <f t="shared" si="2"/>
        <v>0</v>
      </c>
      <c r="F21" s="68">
        <f>SUM(F17:F20)</f>
        <v>0</v>
      </c>
      <c r="G21" s="68">
        <f t="shared" si="2"/>
        <v>0</v>
      </c>
      <c r="H21" s="68">
        <f t="shared" si="2"/>
        <v>0</v>
      </c>
      <c r="I21" s="68">
        <f>SUM(I17:I20)</f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</row>
    <row r="22" spans="1:14" ht="11.25" customHeight="1" thickTop="1" x14ac:dyDescent="0.2">
      <c r="A22" s="71" t="s">
        <v>1541</v>
      </c>
      <c r="B22" s="130">
        <f>'Page 1 - FY2014-15'!$C$7</f>
        <v>0</v>
      </c>
      <c r="C22" s="130">
        <f>'Page 1 - FY2014-15'!$C$7</f>
        <v>0</v>
      </c>
      <c r="D22" s="130">
        <f>'Page 1 - FY2014-15'!$C$7</f>
        <v>0</v>
      </c>
      <c r="E22" s="130">
        <f>'Page 1 - FY2014-15'!$C$7</f>
        <v>0</v>
      </c>
      <c r="F22" s="130">
        <f>'Page 1 - FY2014-15'!$C$7</f>
        <v>0</v>
      </c>
      <c r="G22" s="130">
        <f>'Page 1 - FY2014-15'!$C$7</f>
        <v>0</v>
      </c>
      <c r="H22" s="130">
        <f>'Page 1 - FY2014-15'!$C$7</f>
        <v>0</v>
      </c>
      <c r="I22" s="130">
        <f>'Page 1 - FY2014-15'!$C$7</f>
        <v>0</v>
      </c>
      <c r="J22" s="130">
        <f>'Page 1 - FY2014-15'!$C$7</f>
        <v>0</v>
      </c>
      <c r="K22" s="130">
        <f>'Page 1 - FY2014-15'!$C$7</f>
        <v>0</v>
      </c>
      <c r="L22" s="130">
        <f>'Page 1 - FY2014-15'!$C$7</f>
        <v>0</v>
      </c>
      <c r="M22" s="130">
        <f>'Page 1 - FY2014-15'!$C$7</f>
        <v>0</v>
      </c>
      <c r="N22" s="130">
        <f>'Page 1 - FY2014-15'!$C$7</f>
        <v>0</v>
      </c>
    </row>
    <row r="23" spans="1:14" ht="11.25" customHeight="1" x14ac:dyDescent="0.2">
      <c r="A23" s="71" t="s">
        <v>1542</v>
      </c>
      <c r="B23" s="78" t="e">
        <f>B21/B22</f>
        <v>#DIV/0!</v>
      </c>
      <c r="C23" s="78" t="e">
        <f>C21/C22</f>
        <v>#DIV/0!</v>
      </c>
      <c r="D23" s="78" t="e">
        <f>D21/D22</f>
        <v>#DIV/0!</v>
      </c>
      <c r="E23" s="78" t="e">
        <f t="shared" ref="E23:N23" si="3">E21/E22</f>
        <v>#DIV/0!</v>
      </c>
      <c r="F23" s="78" t="e">
        <f>F21/F22</f>
        <v>#DIV/0!</v>
      </c>
      <c r="G23" s="78" t="e">
        <f t="shared" si="3"/>
        <v>#DIV/0!</v>
      </c>
      <c r="H23" s="78" t="e">
        <f t="shared" si="3"/>
        <v>#DIV/0!</v>
      </c>
      <c r="I23" s="78" t="e">
        <f>I21/I22</f>
        <v>#DIV/0!</v>
      </c>
      <c r="J23" s="78" t="e">
        <f t="shared" si="3"/>
        <v>#DIV/0!</v>
      </c>
      <c r="K23" s="78" t="e">
        <f t="shared" si="3"/>
        <v>#DIV/0!</v>
      </c>
      <c r="L23" s="78" t="e">
        <f t="shared" si="3"/>
        <v>#DIV/0!</v>
      </c>
      <c r="M23" s="78" t="e">
        <f t="shared" si="3"/>
        <v>#DIV/0!</v>
      </c>
      <c r="N23" s="78" t="e">
        <f t="shared" si="3"/>
        <v>#DIV/0!</v>
      </c>
    </row>
    <row r="24" spans="1:14" ht="11.25" customHeight="1" x14ac:dyDescent="0.15">
      <c r="F24"/>
    </row>
  </sheetData>
  <sheetProtection formatCells="0" formatColumns="0" formatRows="0"/>
  <phoneticPr fontId="15" type="noConversion"/>
  <pageMargins left="0.75" right="0.75" top="1" bottom="1" header="0.5" footer="0.5"/>
  <pageSetup scale="64" firstPageNumber="57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75" workbookViewId="0">
      <selection activeCell="B8" sqref="B8"/>
    </sheetView>
  </sheetViews>
  <sheetFormatPr defaultColWidth="12" defaultRowHeight="10.5" x14ac:dyDescent="0.15"/>
  <cols>
    <col min="1" max="1" width="31.6640625" customWidth="1"/>
    <col min="2" max="5" width="17.83203125" customWidth="1"/>
    <col min="6" max="6" width="17.83203125" style="289" hidden="1" customWidth="1"/>
    <col min="7" max="14" width="17.83203125" customWidth="1"/>
  </cols>
  <sheetData>
    <row r="1" spans="1:14" x14ac:dyDescent="0.15">
      <c r="A1">
        <f>+'Page 1 - FY2014-15'!B5</f>
        <v>0</v>
      </c>
      <c r="B1" s="17"/>
      <c r="C1" s="17"/>
      <c r="D1" s="17"/>
      <c r="E1" s="17"/>
      <c r="F1" s="377"/>
      <c r="G1" s="17"/>
      <c r="H1" s="17"/>
      <c r="I1" s="17"/>
      <c r="J1" s="17"/>
      <c r="K1" s="17"/>
      <c r="L1" s="17"/>
      <c r="M1" s="17"/>
      <c r="N1" s="12"/>
    </row>
    <row r="2" spans="1:14" ht="15.75" x14ac:dyDescent="0.25">
      <c r="A2" s="63" t="s">
        <v>1543</v>
      </c>
      <c r="B2" s="17"/>
      <c r="C2" s="17"/>
      <c r="D2" s="17"/>
      <c r="E2" s="17"/>
      <c r="F2" s="377"/>
      <c r="G2" s="17"/>
      <c r="H2" s="17"/>
      <c r="I2" s="17"/>
      <c r="J2" s="17"/>
      <c r="K2" s="17"/>
      <c r="L2" s="17"/>
      <c r="M2" s="17"/>
      <c r="N2" s="17"/>
    </row>
    <row r="3" spans="1:14" ht="15.75" x14ac:dyDescent="0.25">
      <c r="B3" s="16"/>
      <c r="C3" s="16"/>
      <c r="D3" s="16"/>
      <c r="E3" s="16"/>
      <c r="F3" s="378"/>
      <c r="G3" s="16"/>
      <c r="H3" s="16"/>
      <c r="I3" s="16"/>
      <c r="J3" s="16"/>
      <c r="K3" s="16"/>
      <c r="L3" s="16"/>
      <c r="M3" s="16"/>
      <c r="N3" s="16"/>
    </row>
    <row r="4" spans="1:14" ht="15.75" x14ac:dyDescent="0.25">
      <c r="B4" s="16"/>
      <c r="C4" s="16"/>
      <c r="D4" s="16"/>
      <c r="E4" s="16"/>
      <c r="F4" s="378"/>
      <c r="G4" s="16"/>
      <c r="H4" s="16"/>
      <c r="I4" s="16"/>
      <c r="J4" s="16"/>
      <c r="K4" s="16"/>
      <c r="L4" s="16"/>
      <c r="M4" s="16"/>
      <c r="N4" s="16"/>
    </row>
    <row r="5" spans="1:14" ht="11.25" x14ac:dyDescent="0.2">
      <c r="A5" s="27"/>
      <c r="B5" s="30"/>
      <c r="C5" s="389" t="s">
        <v>1633</v>
      </c>
      <c r="D5" s="79" t="s">
        <v>1544</v>
      </c>
      <c r="E5" s="79" t="s">
        <v>783</v>
      </c>
      <c r="F5" s="79" t="s">
        <v>1632</v>
      </c>
      <c r="G5" s="79" t="s">
        <v>1357</v>
      </c>
      <c r="H5" s="79" t="s">
        <v>1358</v>
      </c>
      <c r="I5" s="79" t="s">
        <v>1359</v>
      </c>
      <c r="J5" s="645" t="s">
        <v>1361</v>
      </c>
      <c r="K5" s="79" t="s">
        <v>1362</v>
      </c>
      <c r="L5" s="79" t="s">
        <v>1363</v>
      </c>
      <c r="M5" s="79" t="s">
        <v>1364</v>
      </c>
      <c r="N5" s="79" t="s">
        <v>1206</v>
      </c>
    </row>
    <row r="6" spans="1:14" ht="11.25" x14ac:dyDescent="0.2">
      <c r="A6" s="65" t="s">
        <v>1208</v>
      </c>
      <c r="B6" s="80" t="s">
        <v>1365</v>
      </c>
      <c r="C6" s="80" t="s">
        <v>784</v>
      </c>
      <c r="D6" s="80" t="s">
        <v>1366</v>
      </c>
      <c r="E6" s="80" t="s">
        <v>784</v>
      </c>
      <c r="F6" s="80" t="s">
        <v>1475</v>
      </c>
      <c r="G6" s="80" t="s">
        <v>1366</v>
      </c>
      <c r="H6" s="80" t="s">
        <v>1475</v>
      </c>
      <c r="I6" s="80" t="s">
        <v>1476</v>
      </c>
      <c r="J6" s="646" t="s">
        <v>1477</v>
      </c>
      <c r="K6" s="80" t="s">
        <v>1478</v>
      </c>
      <c r="L6" s="80" t="s">
        <v>1479</v>
      </c>
      <c r="M6" s="80" t="s">
        <v>1478</v>
      </c>
      <c r="N6" s="80" t="s">
        <v>1209</v>
      </c>
    </row>
    <row r="7" spans="1:14" ht="12" thickBot="1" x14ac:dyDescent="0.25">
      <c r="A7" s="29"/>
      <c r="B7" s="66" t="s">
        <v>1480</v>
      </c>
      <c r="C7" s="66" t="s">
        <v>1480</v>
      </c>
      <c r="D7" s="66" t="s">
        <v>1480</v>
      </c>
      <c r="E7" s="66" t="s">
        <v>1480</v>
      </c>
      <c r="F7" s="67" t="s">
        <v>432</v>
      </c>
      <c r="G7" s="66" t="s">
        <v>1480</v>
      </c>
      <c r="H7" s="67" t="s">
        <v>432</v>
      </c>
      <c r="I7" s="66" t="s">
        <v>1480</v>
      </c>
      <c r="J7" s="647" t="s">
        <v>1481</v>
      </c>
      <c r="K7" s="66" t="s">
        <v>1480</v>
      </c>
      <c r="L7" s="66" t="s">
        <v>1481</v>
      </c>
      <c r="M7" s="66" t="s">
        <v>1481</v>
      </c>
      <c r="N7" s="66" t="s">
        <v>1211</v>
      </c>
    </row>
    <row r="8" spans="1:14" ht="12" thickTop="1" x14ac:dyDescent="0.2">
      <c r="A8" s="69" t="s">
        <v>1545</v>
      </c>
      <c r="B8" s="73">
        <f>GenFundExp!I1074</f>
        <v>0</v>
      </c>
      <c r="C8" s="73">
        <f>CharterFundExp!I1074</f>
        <v>0</v>
      </c>
      <c r="D8" s="73"/>
      <c r="E8" s="73">
        <f>'CPP Fund'!I61</f>
        <v>0</v>
      </c>
      <c r="F8" s="73"/>
      <c r="G8" s="73">
        <f>CapRes!I46</f>
        <v>0</v>
      </c>
      <c r="H8" s="73"/>
      <c r="I8" s="73">
        <f>PupActiv!I41</f>
        <v>0</v>
      </c>
      <c r="J8" s="73">
        <f>OthSpecRev!I36</f>
        <v>0</v>
      </c>
      <c r="K8" s="73"/>
      <c r="L8" s="73"/>
      <c r="M8" s="73"/>
      <c r="N8" s="73">
        <f>SUM(B8:M8)</f>
        <v>0</v>
      </c>
    </row>
    <row r="9" spans="1:14" ht="11.25" x14ac:dyDescent="0.2">
      <c r="A9" s="69" t="s">
        <v>1546</v>
      </c>
      <c r="B9" s="73">
        <f>GenFundExp2!I44+GenFundExp2!I81+GenFundExp2!I118</f>
        <v>0</v>
      </c>
      <c r="C9" s="73">
        <f>CharterFundExp2!I44+CharterFundExp2!I81+CharterFundExp2!I118</f>
        <v>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>
        <f>SUM(B9:M9)</f>
        <v>0</v>
      </c>
    </row>
    <row r="10" spans="1:14" ht="12" thickBot="1" x14ac:dyDescent="0.25">
      <c r="A10" s="67" t="s">
        <v>1547</v>
      </c>
      <c r="B10" s="68">
        <f>GenFundExp2!I187</f>
        <v>0</v>
      </c>
      <c r="C10" s="68">
        <f>CharterFundExp2!I187</f>
        <v>0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>
        <f>SUM(B10:M10)</f>
        <v>0</v>
      </c>
    </row>
    <row r="11" spans="1:14" ht="12.75" thickTop="1" thickBot="1" x14ac:dyDescent="0.25">
      <c r="A11" s="67" t="s">
        <v>1548</v>
      </c>
      <c r="B11" s="68">
        <f>SUM(B8:B10)</f>
        <v>0</v>
      </c>
      <c r="C11" s="68">
        <f t="shared" ref="C11:L11" si="0">SUM(C8:C10)</f>
        <v>0</v>
      </c>
      <c r="D11" s="68">
        <f>SUM(D8:D10)</f>
        <v>0</v>
      </c>
      <c r="E11" s="68">
        <f t="shared" si="0"/>
        <v>0</v>
      </c>
      <c r="F11" s="68">
        <f>SUM(F8:F10)</f>
        <v>0</v>
      </c>
      <c r="G11" s="68">
        <f t="shared" si="0"/>
        <v>0</v>
      </c>
      <c r="H11" s="68">
        <f>SUM(H8:H10)</f>
        <v>0</v>
      </c>
      <c r="I11" s="68">
        <f>SUM(I8:I10)</f>
        <v>0</v>
      </c>
      <c r="J11" s="68">
        <f>SUM(J8:J10)</f>
        <v>0</v>
      </c>
      <c r="K11" s="68">
        <f t="shared" si="0"/>
        <v>0</v>
      </c>
      <c r="L11" s="68">
        <f t="shared" si="0"/>
        <v>0</v>
      </c>
      <c r="M11" s="68">
        <f>SUM(M8:M10)</f>
        <v>0</v>
      </c>
      <c r="N11" s="68">
        <f>SUM(N8:N10)</f>
        <v>0</v>
      </c>
    </row>
    <row r="12" spans="1:14" ht="12" thickTop="1" x14ac:dyDescent="0.2">
      <c r="A12" s="82" t="s">
        <v>1549</v>
      </c>
      <c r="B12" s="76"/>
      <c r="C12" s="76"/>
      <c r="D12" s="76"/>
      <c r="E12" s="215">
        <f>'CPP Fund'!I111</f>
        <v>0</v>
      </c>
      <c r="F12" s="76"/>
      <c r="G12" s="215">
        <f>CapRes!I61</f>
        <v>0</v>
      </c>
      <c r="H12" s="76"/>
      <c r="I12" s="215">
        <f>PupActiv!I55</f>
        <v>0</v>
      </c>
      <c r="J12" s="76"/>
      <c r="K12" s="76"/>
      <c r="L12" s="76"/>
      <c r="M12" s="215">
        <f>RiskRelated!I35+OtherInternal!I39</f>
        <v>0</v>
      </c>
      <c r="N12" s="215">
        <f t="shared" ref="N12:N17" si="1">SUM(B12:M12)</f>
        <v>0</v>
      </c>
    </row>
    <row r="13" spans="1:14" ht="11.25" x14ac:dyDescent="0.2">
      <c r="A13" s="69" t="s">
        <v>1550</v>
      </c>
      <c r="B13" s="73">
        <f>GenFundExp2!I149</f>
        <v>0</v>
      </c>
      <c r="C13" s="73">
        <f>CharterFundExp2!I149</f>
        <v>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>
        <f t="shared" si="1"/>
        <v>0</v>
      </c>
    </row>
    <row r="14" spans="1:14" ht="11.25" x14ac:dyDescent="0.2">
      <c r="A14" s="69" t="s">
        <v>1551</v>
      </c>
      <c r="B14" s="73">
        <f>GenFundExp2!I251</f>
        <v>0</v>
      </c>
      <c r="C14" s="73">
        <f>CharterFundExp2!I251</f>
        <v>0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>
        <f t="shared" si="1"/>
        <v>0</v>
      </c>
    </row>
    <row r="15" spans="1:14" ht="11.25" x14ac:dyDescent="0.2">
      <c r="A15" s="69" t="s">
        <v>1552</v>
      </c>
      <c r="B15" s="73">
        <f>GenFundExp2!I291</f>
        <v>0</v>
      </c>
      <c r="C15" s="73">
        <f>CharterFundExp2!I291</f>
        <v>0</v>
      </c>
      <c r="D15" s="73"/>
      <c r="E15" s="73"/>
      <c r="F15" s="73"/>
      <c r="G15" s="73"/>
      <c r="H15" s="73"/>
      <c r="I15" s="73"/>
      <c r="J15" s="73">
        <f>Transp!I37+FullDayKOverride!I38</f>
        <v>0</v>
      </c>
      <c r="K15" s="73"/>
      <c r="L15" s="73"/>
      <c r="M15" s="73"/>
      <c r="N15" s="73">
        <f t="shared" si="1"/>
        <v>0</v>
      </c>
    </row>
    <row r="16" spans="1:14" ht="11.25" x14ac:dyDescent="0.2">
      <c r="A16" s="69" t="s">
        <v>1553</v>
      </c>
      <c r="B16" s="73">
        <f>GenFundExp2!I384</f>
        <v>0</v>
      </c>
      <c r="C16" s="73">
        <f>CharterFundExp2!I384</f>
        <v>0</v>
      </c>
      <c r="D16" s="73"/>
      <c r="E16" s="73"/>
      <c r="F16" s="73"/>
      <c r="G16" s="73"/>
      <c r="H16" s="73"/>
      <c r="I16" s="73"/>
      <c r="J16" s="73"/>
      <c r="K16" s="73">
        <f>FoodServ!I47</f>
        <v>0</v>
      </c>
      <c r="L16" s="73"/>
      <c r="M16" s="73"/>
      <c r="N16" s="73">
        <f t="shared" si="1"/>
        <v>0</v>
      </c>
    </row>
    <row r="17" spans="1:14" ht="12" thickBot="1" x14ac:dyDescent="0.25">
      <c r="A17" s="67" t="s">
        <v>1554</v>
      </c>
      <c r="B17" s="68">
        <f>GenFundExp2!I218+GenFundExp2!I323+GenFundExp2!I353+GenFundExp2!I407+GenFundExp2!I525+GenFundExp2!I430</f>
        <v>0</v>
      </c>
      <c r="C17" s="68">
        <f>CharterFundExp2!I218+CharterFundExp2!I323+CharterFundExp2!I353+CharterFundExp2!I407+CharterFundExp2!I525+CharterFundExp2!I430</f>
        <v>0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>
        <f t="shared" si="1"/>
        <v>0</v>
      </c>
    </row>
    <row r="18" spans="1:14" ht="12.75" thickTop="1" thickBot="1" x14ac:dyDescent="0.25">
      <c r="A18" s="67" t="s">
        <v>1555</v>
      </c>
      <c r="B18" s="68">
        <f>SUM(B12:B17)</f>
        <v>0</v>
      </c>
      <c r="C18" s="68">
        <f>SUM(C12:C17)</f>
        <v>0</v>
      </c>
      <c r="D18" s="68">
        <f>SUM(D12:D17)</f>
        <v>0</v>
      </c>
      <c r="E18" s="68">
        <f t="shared" ref="E18:M18" si="2">SUM(E12:E17)</f>
        <v>0</v>
      </c>
      <c r="F18" s="68">
        <f>SUM(F12:F17)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>SUM(N12:N17)</f>
        <v>0</v>
      </c>
    </row>
    <row r="19" spans="1:14" ht="12" thickTop="1" x14ac:dyDescent="0.2">
      <c r="A19" s="69" t="s">
        <v>1556</v>
      </c>
      <c r="B19" s="73">
        <f>GenFundExp2!I461+GenFundExp2!I492</f>
        <v>0</v>
      </c>
      <c r="C19" s="73">
        <f>CharterFundExp2!I461+CharterFundExp2!I492</f>
        <v>0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>
        <f>SUM(B19:M19)</f>
        <v>0</v>
      </c>
    </row>
    <row r="20" spans="1:14" ht="11.25" x14ac:dyDescent="0.2">
      <c r="A20" s="69" t="s">
        <v>1557</v>
      </c>
      <c r="B20" s="73">
        <f>GenFundExp2!I534+GenFundExp2!I535</f>
        <v>0</v>
      </c>
      <c r="C20" s="73">
        <f>CharterFundExp2!I534+CharterFundExp2!I535</f>
        <v>0</v>
      </c>
      <c r="D20" s="73"/>
      <c r="E20" s="73"/>
      <c r="F20" s="73"/>
      <c r="G20" s="73">
        <f>CapRes!I69</f>
        <v>0</v>
      </c>
      <c r="H20" s="73"/>
      <c r="I20" s="73"/>
      <c r="J20" s="73">
        <f>OthSpecRev!I57</f>
        <v>0</v>
      </c>
      <c r="K20" s="73"/>
      <c r="L20" s="73"/>
      <c r="M20" s="73"/>
      <c r="N20" s="73">
        <f>SUM(B20:M20)</f>
        <v>0</v>
      </c>
    </row>
    <row r="21" spans="1:14" ht="12" thickBot="1" x14ac:dyDescent="0.25">
      <c r="A21" s="67" t="s">
        <v>1558</v>
      </c>
      <c r="B21" s="73">
        <f>GenFundExp2!I532+GenFundExp2!I537</f>
        <v>0</v>
      </c>
      <c r="C21" s="73">
        <f>CharterFundExp2!I532+CharterFundExp2!I537</f>
        <v>0</v>
      </c>
      <c r="D21" s="68">
        <f>InsResv!I39</f>
        <v>0</v>
      </c>
      <c r="E21" s="68">
        <f>+'CPP Fund'!I113+'CPP Fund'!I114</f>
        <v>0</v>
      </c>
      <c r="F21" s="68"/>
      <c r="G21" s="68"/>
      <c r="H21" s="68"/>
      <c r="I21" s="68"/>
      <c r="J21" s="73">
        <f>OthSpecRev!I49</f>
        <v>0</v>
      </c>
      <c r="K21" s="68"/>
      <c r="L21" s="68">
        <f>OtherEnterprise!I37</f>
        <v>0</v>
      </c>
      <c r="M21" s="68"/>
      <c r="N21" s="68">
        <f>SUM(B21:M21)</f>
        <v>0</v>
      </c>
    </row>
    <row r="22" spans="1:14" ht="12.75" thickTop="1" thickBot="1" x14ac:dyDescent="0.25">
      <c r="A22" s="84" t="s">
        <v>1559</v>
      </c>
      <c r="B22" s="85">
        <f t="shared" ref="B22:L22" si="3">SUM(B18:B21)+B11</f>
        <v>0</v>
      </c>
      <c r="C22" s="85">
        <f t="shared" si="3"/>
        <v>0</v>
      </c>
      <c r="D22" s="85">
        <f>SUM(D18:D21)+D11</f>
        <v>0</v>
      </c>
      <c r="E22" s="85">
        <f t="shared" si="3"/>
        <v>0</v>
      </c>
      <c r="F22" s="85">
        <f>ARRAGrants!J170</f>
        <v>0</v>
      </c>
      <c r="G22" s="85">
        <f t="shared" si="3"/>
        <v>0</v>
      </c>
      <c r="H22" s="85">
        <f>GovGrants!J170</f>
        <v>0</v>
      </c>
      <c r="I22" s="85">
        <f>SUM(I18:I21)+I11</f>
        <v>0</v>
      </c>
      <c r="J22" s="85">
        <f>SUM(J18:J21)+J11</f>
        <v>0</v>
      </c>
      <c r="K22" s="85">
        <f t="shared" si="3"/>
        <v>0</v>
      </c>
      <c r="L22" s="85">
        <f t="shared" si="3"/>
        <v>0</v>
      </c>
      <c r="M22" s="85">
        <f>SUM(M18:M21)+M11</f>
        <v>0</v>
      </c>
      <c r="N22" s="85">
        <f>SUM(B22:M22)</f>
        <v>0</v>
      </c>
    </row>
    <row r="23" spans="1:14" ht="12" thickTop="1" x14ac:dyDescent="0.2">
      <c r="A23" s="69" t="s">
        <v>1541</v>
      </c>
      <c r="B23" s="77">
        <f>'Page 1 - FY2014-15'!$C7</f>
        <v>0</v>
      </c>
      <c r="C23" s="77">
        <f>'Page 1 - FY2014-15'!$C7</f>
        <v>0</v>
      </c>
      <c r="D23" s="77">
        <f>'Page 1 - FY2014-15'!$C7</f>
        <v>0</v>
      </c>
      <c r="E23" s="77">
        <f>'Page 1 - FY2014-15'!$C7</f>
        <v>0</v>
      </c>
      <c r="F23" s="77">
        <f>'Page 1 - FY2014-15'!$C7</f>
        <v>0</v>
      </c>
      <c r="G23" s="77">
        <f>'Page 1 - FY2014-15'!$C7</f>
        <v>0</v>
      </c>
      <c r="H23" s="77">
        <f>'Page 1 - FY2014-15'!$C7</f>
        <v>0</v>
      </c>
      <c r="I23" s="77">
        <f>'Page 1 - FY2014-15'!$C7</f>
        <v>0</v>
      </c>
      <c r="J23" s="77">
        <f>'Page 1 - FY2014-15'!$C7</f>
        <v>0</v>
      </c>
      <c r="K23" s="77">
        <f>'Page 1 - FY2014-15'!$C7</f>
        <v>0</v>
      </c>
      <c r="L23" s="77">
        <f>'Page 1 - FY2014-15'!$C7</f>
        <v>0</v>
      </c>
      <c r="M23" s="77">
        <f>'Page 1 - FY2014-15'!$C7</f>
        <v>0</v>
      </c>
      <c r="N23" s="77">
        <f>'Page 1 - FY2014-15'!$C7</f>
        <v>0</v>
      </c>
    </row>
    <row r="24" spans="1:14" ht="12" thickBot="1" x14ac:dyDescent="0.25">
      <c r="A24" s="69" t="s">
        <v>1560</v>
      </c>
      <c r="B24" s="73" t="e">
        <f t="shared" ref="B24:L24" si="4">B22/B23</f>
        <v>#DIV/0!</v>
      </c>
      <c r="C24" s="73" t="e">
        <f t="shared" si="4"/>
        <v>#DIV/0!</v>
      </c>
      <c r="D24" s="73" t="e">
        <f>D22/D23</f>
        <v>#DIV/0!</v>
      </c>
      <c r="E24" s="73" t="e">
        <f t="shared" si="4"/>
        <v>#DIV/0!</v>
      </c>
      <c r="F24" s="73" t="e">
        <f>F22/F23</f>
        <v>#DIV/0!</v>
      </c>
      <c r="G24" s="73" t="e">
        <f t="shared" si="4"/>
        <v>#DIV/0!</v>
      </c>
      <c r="H24" s="73" t="e">
        <f>H22/H23</f>
        <v>#DIV/0!</v>
      </c>
      <c r="I24" s="73" t="e">
        <f>I22/I23</f>
        <v>#DIV/0!</v>
      </c>
      <c r="J24" s="73" t="e">
        <f>J22/J23</f>
        <v>#DIV/0!</v>
      </c>
      <c r="K24" s="73" t="e">
        <f t="shared" si="4"/>
        <v>#DIV/0!</v>
      </c>
      <c r="L24" s="73" t="e">
        <f t="shared" si="4"/>
        <v>#DIV/0!</v>
      </c>
      <c r="M24" s="73" t="e">
        <f>M22/M23</f>
        <v>#DIV/0!</v>
      </c>
      <c r="N24" s="73" t="e">
        <f>N22/N23</f>
        <v>#DIV/0!</v>
      </c>
    </row>
    <row r="25" spans="1:14" ht="12" thickTop="1" x14ac:dyDescent="0.2">
      <c r="A25" s="86" t="s">
        <v>1222</v>
      </c>
      <c r="B25" s="87">
        <f>GenFundExp2!I544</f>
        <v>0</v>
      </c>
      <c r="C25" s="87">
        <f>CharterFundExp2!I544</f>
        <v>0</v>
      </c>
      <c r="D25" s="87">
        <f>InsResv!I43</f>
        <v>0</v>
      </c>
      <c r="E25" s="87">
        <f>'CPP Fund'!I121</f>
        <v>0</v>
      </c>
      <c r="F25" s="87">
        <f>ARRAGrants!J175</f>
        <v>0</v>
      </c>
      <c r="G25" s="87">
        <f>CapRes!I75</f>
        <v>0</v>
      </c>
      <c r="H25" s="87">
        <f>GovGrants!J175</f>
        <v>0</v>
      </c>
      <c r="I25" s="87">
        <f>PupActiv!I61</f>
        <v>0</v>
      </c>
      <c r="J25" s="87">
        <f>Transp!I41+OthSpecRev!I63+FullDayKOverride!I42</f>
        <v>0</v>
      </c>
      <c r="K25" s="87">
        <f>FoodServ!I51</f>
        <v>0</v>
      </c>
      <c r="L25" s="87">
        <f>OtherEnterprise!I41</f>
        <v>0</v>
      </c>
      <c r="M25" s="87">
        <f>RiskRelated!I39+OtherInternal!I43</f>
        <v>0</v>
      </c>
      <c r="N25" s="87">
        <f>SUM(B25:M25)</f>
        <v>0</v>
      </c>
    </row>
    <row r="26" spans="1:14" ht="12" thickBot="1" x14ac:dyDescent="0.25">
      <c r="A26" s="69" t="s">
        <v>1144</v>
      </c>
      <c r="B26" s="73">
        <f>GenFundExp2!I550-GenFundExp2!I544</f>
        <v>0</v>
      </c>
      <c r="C26" s="73">
        <f>CharterFundExp2!I548-CharterFundExp2!I544</f>
        <v>0</v>
      </c>
      <c r="D26" s="73">
        <f>InsResv!I47-InsResv!I43</f>
        <v>0</v>
      </c>
      <c r="E26" s="73">
        <f>'CPP Fund'!I125-'CPP Fund'!I121</f>
        <v>0</v>
      </c>
      <c r="F26" s="73">
        <f>ARRAGrants!J179-ARRAGrants!J175</f>
        <v>0</v>
      </c>
      <c r="G26" s="73">
        <f>CapRes!I79-CapRes!I75</f>
        <v>0</v>
      </c>
      <c r="H26" s="73">
        <f>GovGrants!J179-GovGrants!J175</f>
        <v>0</v>
      </c>
      <c r="I26" s="73">
        <f>PupActiv!I65-PupActiv!I61</f>
        <v>0</v>
      </c>
      <c r="J26" s="73">
        <f>Transp!I45-Transp!I41+OthSpecRev!I67-OthSpecRev!I63+FullDayKOverride!I46-FullDayKOverride!I42</f>
        <v>0</v>
      </c>
      <c r="K26" s="73">
        <f>FoodServ!I55-FoodServ!I51</f>
        <v>0</v>
      </c>
      <c r="L26" s="73">
        <f>OtherEnterprise!I45-OtherEnterprise!I41</f>
        <v>0</v>
      </c>
      <c r="M26" s="73">
        <f>RiskRelated!I43-RiskRelated!I39+OtherInternal!I47-OtherInternal!I43</f>
        <v>0</v>
      </c>
      <c r="N26" s="73">
        <f>SUM(B26:M26)</f>
        <v>0</v>
      </c>
    </row>
    <row r="27" spans="1:14" ht="12" thickTop="1" x14ac:dyDescent="0.2">
      <c r="A27" s="82" t="s">
        <v>1353</v>
      </c>
      <c r="B27" s="88">
        <f>GenFundExp2!I556</f>
        <v>0</v>
      </c>
      <c r="C27" s="88">
        <f>CharterFundExp2!I554</f>
        <v>0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>
        <f>SUM(B27:M27)</f>
        <v>0</v>
      </c>
    </row>
  </sheetData>
  <sheetProtection formatCells="0" formatColumns="0" formatRows="0"/>
  <phoneticPr fontId="15" type="noConversion"/>
  <pageMargins left="0.75" right="0.75" top="1" bottom="1" header="0.5" footer="0.5"/>
  <pageSetup scale="58" firstPageNumber="58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G18" sqref="G18"/>
    </sheetView>
  </sheetViews>
  <sheetFormatPr defaultColWidth="12" defaultRowHeight="10.5" x14ac:dyDescent="0.15"/>
  <cols>
    <col min="1" max="1" width="30.6640625" customWidth="1"/>
    <col min="2" max="8" width="17.83203125" customWidth="1"/>
  </cols>
  <sheetData>
    <row r="1" spans="1:8" x14ac:dyDescent="0.15">
      <c r="A1">
        <f>+'Page 1 - FY2014-15'!B5</f>
        <v>0</v>
      </c>
      <c r="B1" s="17"/>
      <c r="C1" s="17"/>
      <c r="D1" s="17"/>
      <c r="E1" s="17"/>
      <c r="F1" s="17"/>
      <c r="G1" s="17"/>
      <c r="H1" s="12"/>
    </row>
    <row r="2" spans="1:8" ht="15.75" x14ac:dyDescent="0.25">
      <c r="A2" s="63" t="s">
        <v>1561</v>
      </c>
      <c r="B2" s="17"/>
      <c r="C2" s="17"/>
      <c r="D2" s="17"/>
      <c r="E2" s="17"/>
      <c r="F2" s="17"/>
      <c r="G2" s="17"/>
      <c r="H2" s="17"/>
    </row>
    <row r="4" spans="1:8" ht="11.25" x14ac:dyDescent="0.2">
      <c r="A4" s="27"/>
      <c r="B4" s="64"/>
      <c r="C4" s="64"/>
      <c r="D4" s="127" t="s">
        <v>1357</v>
      </c>
      <c r="E4" s="64" t="s">
        <v>1361</v>
      </c>
      <c r="F4" s="64"/>
      <c r="G4" s="90"/>
      <c r="H4" s="64"/>
    </row>
    <row r="5" spans="1:8" ht="11.25" x14ac:dyDescent="0.2">
      <c r="A5" s="65" t="s">
        <v>1208</v>
      </c>
      <c r="B5" s="65" t="s">
        <v>1562</v>
      </c>
      <c r="C5" s="65" t="s">
        <v>1668</v>
      </c>
      <c r="D5" s="65" t="s">
        <v>1565</v>
      </c>
      <c r="E5" s="118" t="s">
        <v>1566</v>
      </c>
      <c r="F5" s="65" t="s">
        <v>1563</v>
      </c>
      <c r="G5" s="65" t="s">
        <v>1283</v>
      </c>
      <c r="H5" s="65" t="s">
        <v>1206</v>
      </c>
    </row>
    <row r="6" spans="1:8" ht="11.25" x14ac:dyDescent="0.2">
      <c r="A6" s="65"/>
      <c r="B6" s="65" t="s">
        <v>1564</v>
      </c>
      <c r="C6" s="65" t="s">
        <v>1669</v>
      </c>
      <c r="D6" s="65" t="s">
        <v>1568</v>
      </c>
      <c r="E6" s="65" t="s">
        <v>1569</v>
      </c>
      <c r="F6" s="65" t="s">
        <v>1567</v>
      </c>
      <c r="G6" s="65" t="s">
        <v>1284</v>
      </c>
      <c r="H6" s="65" t="s">
        <v>1211</v>
      </c>
    </row>
    <row r="7" spans="1:8" ht="12" thickBot="1" x14ac:dyDescent="0.25">
      <c r="A7" s="29"/>
      <c r="B7" s="66" t="s">
        <v>1480</v>
      </c>
      <c r="C7" s="66" t="s">
        <v>1480</v>
      </c>
      <c r="D7" s="66" t="s">
        <v>1480</v>
      </c>
      <c r="E7" s="66" t="s">
        <v>1480</v>
      </c>
      <c r="F7" s="66" t="s">
        <v>1481</v>
      </c>
      <c r="G7" s="66" t="s">
        <v>1285</v>
      </c>
      <c r="H7" s="66" t="s">
        <v>1570</v>
      </c>
    </row>
    <row r="8" spans="1:8" ht="12.75" thickTop="1" thickBot="1" x14ac:dyDescent="0.25">
      <c r="A8" s="67" t="s">
        <v>1217</v>
      </c>
      <c r="B8" s="68">
        <f>BondRedm!I6</f>
        <v>0</v>
      </c>
      <c r="C8" s="68">
        <f>[1]NonVoterDebt!I6</f>
        <v>0</v>
      </c>
      <c r="D8" s="68">
        <f>CapResCapPrj!I6+BuildFund!I6</f>
        <v>0</v>
      </c>
      <c r="E8" s="68">
        <f>SpecBuild!I6</f>
        <v>0</v>
      </c>
      <c r="F8" s="68">
        <f>PupilActAgency!I6+'Trust&amp;Agency'!I6</f>
        <v>0</v>
      </c>
      <c r="G8" s="68">
        <f>Arbitrage!I12+'Foundation Fund'!I6</f>
        <v>0</v>
      </c>
      <c r="H8" s="68">
        <f>SUM(B8:G8)</f>
        <v>0</v>
      </c>
    </row>
    <row r="9" spans="1:8" ht="12" thickTop="1" x14ac:dyDescent="0.2">
      <c r="A9" s="69" t="s">
        <v>1482</v>
      </c>
      <c r="B9" s="70"/>
      <c r="C9" s="70"/>
      <c r="D9" s="70"/>
      <c r="E9" s="70"/>
      <c r="F9" s="70"/>
      <c r="G9" s="70"/>
      <c r="H9" s="70"/>
    </row>
    <row r="10" spans="1:8" ht="11.25" x14ac:dyDescent="0.2">
      <c r="A10" s="71" t="s">
        <v>1534</v>
      </c>
      <c r="B10" s="215">
        <f>SUM(BondRedm!I8:I14)</f>
        <v>0</v>
      </c>
      <c r="C10" s="215">
        <f>SUM([1]NonVoterDebt!I8:I14)</f>
        <v>0</v>
      </c>
      <c r="D10" s="215">
        <f>SUM(BuildFund!I8:I9)+SUM(CapResCapPrj!I8:I12)</f>
        <v>0</v>
      </c>
      <c r="E10" s="215">
        <f>SUM(SpecBuild!I8:I11)</f>
        <v>0</v>
      </c>
      <c r="F10" s="215">
        <f>SUM(PupilActAgency!I8:I10)+'Trust&amp;Agency'!I9</f>
        <v>0</v>
      </c>
      <c r="G10" s="215">
        <f>SUM(Arbitrage!G15:G17)+'Foundation Fund'!I9</f>
        <v>0</v>
      </c>
      <c r="H10" s="217">
        <f>SUM(B10:G10)</f>
        <v>0</v>
      </c>
    </row>
    <row r="11" spans="1:8" ht="11.25" x14ac:dyDescent="0.2">
      <c r="A11" s="216" t="s">
        <v>1143</v>
      </c>
      <c r="B11" s="217">
        <f>BondRedm!I15</f>
        <v>0</v>
      </c>
      <c r="C11" s="217">
        <f>[1]NonVoterDebt!I15</f>
        <v>0</v>
      </c>
      <c r="D11" s="217">
        <f>+CapResCapPrj!I13</f>
        <v>0</v>
      </c>
      <c r="E11" s="217"/>
      <c r="F11" s="217"/>
      <c r="G11" s="217"/>
      <c r="H11" s="217">
        <f>SUM(B11:G11)</f>
        <v>0</v>
      </c>
    </row>
    <row r="12" spans="1:8" ht="11.25" x14ac:dyDescent="0.2">
      <c r="A12" s="218" t="s">
        <v>1535</v>
      </c>
      <c r="B12" s="219"/>
      <c r="C12" s="219"/>
      <c r="D12" s="219">
        <f>BuildFund!I10+SUM(CapResCapPrj!I14:I17)</f>
        <v>0</v>
      </c>
      <c r="E12" s="219"/>
      <c r="F12" s="219"/>
      <c r="G12" s="219"/>
      <c r="H12" s="217">
        <f>SUM(B12:G12)</f>
        <v>0</v>
      </c>
    </row>
    <row r="13" spans="1:8" ht="12" thickBot="1" x14ac:dyDescent="0.25">
      <c r="A13" s="220" t="s">
        <v>1536</v>
      </c>
      <c r="B13" s="221"/>
      <c r="C13" s="221"/>
      <c r="D13" s="221">
        <f>BuildFund!I11+CapResCapPrj!I18</f>
        <v>0</v>
      </c>
      <c r="E13" s="221"/>
      <c r="F13" s="221"/>
      <c r="G13" s="221"/>
      <c r="H13" s="217">
        <f>SUM(B13:G13)</f>
        <v>0</v>
      </c>
    </row>
    <row r="14" spans="1:8" ht="12.75" thickTop="1" thickBot="1" x14ac:dyDescent="0.25">
      <c r="A14" s="84" t="s">
        <v>1537</v>
      </c>
      <c r="B14" s="85">
        <f t="shared" ref="B14:H14" si="0">SUM(B9:B13)</f>
        <v>0</v>
      </c>
      <c r="C14" s="85">
        <f>SUM(C9:C13)</f>
        <v>0</v>
      </c>
      <c r="D14" s="85">
        <f t="shared" si="0"/>
        <v>0</v>
      </c>
      <c r="E14" s="85">
        <f t="shared" si="0"/>
        <v>0</v>
      </c>
      <c r="F14" s="85">
        <f t="shared" si="0"/>
        <v>0</v>
      </c>
      <c r="G14" s="85">
        <f t="shared" si="0"/>
        <v>0</v>
      </c>
      <c r="H14" s="85">
        <f t="shared" si="0"/>
        <v>0</v>
      </c>
    </row>
    <row r="15" spans="1:8" ht="12" thickTop="1" x14ac:dyDescent="0.2">
      <c r="A15" s="69" t="s">
        <v>1605</v>
      </c>
      <c r="B15" s="73">
        <f>BondRedm!I19</f>
        <v>0</v>
      </c>
      <c r="C15" s="73">
        <f>[1]NonVoterDebt!I19</f>
        <v>0</v>
      </c>
      <c r="D15" s="73">
        <f>BuildFund!I15+CapResCapPrj!I19</f>
        <v>0</v>
      </c>
      <c r="E15" s="73">
        <f>SpecBuild!I12</f>
        <v>0</v>
      </c>
      <c r="F15" s="73">
        <f>PupilActAgency!I11+'Trust&amp;Agency'!I10</f>
        <v>0</v>
      </c>
      <c r="G15" s="73">
        <f>Arbitrage!G20+'Foundation Fund'!I10</f>
        <v>0</v>
      </c>
      <c r="H15" s="73">
        <f>SUM(B15:G15)</f>
        <v>0</v>
      </c>
    </row>
    <row r="16" spans="1:8" ht="11.25" x14ac:dyDescent="0.2">
      <c r="A16" s="69" t="s">
        <v>1538</v>
      </c>
      <c r="B16" s="73">
        <f>BondRedm!I16+BondRedm!I17+BondRedm!I18+BondRedm!I20</f>
        <v>0</v>
      </c>
      <c r="C16" s="73">
        <f>[1]NonVoterDebt!I16+[1]NonVoterDebt!I17+[1]NonVoterDebt!I18+[1]NonVoterDebt!I20</f>
        <v>0</v>
      </c>
      <c r="D16" s="73">
        <f>BuildFund!I12+BuildFund!I13+BuildFund!I14+BuildFund!I16+CapResCapPrj!I20+CapResCapPrj!I21+CapResCapPrj!I23</f>
        <v>0</v>
      </c>
      <c r="E16" s="73">
        <f>SpecBuild!I13</f>
        <v>0</v>
      </c>
      <c r="F16" s="73">
        <f>PupilActAgency!I12+'Trust&amp;Agency'!I11</f>
        <v>0</v>
      </c>
      <c r="G16" s="73">
        <f>Arbitrage!G18+'Foundation Fund'!I11</f>
        <v>0</v>
      </c>
      <c r="H16" s="73">
        <f>SUM(B16:G16)</f>
        <v>0</v>
      </c>
    </row>
    <row r="17" spans="1:8" ht="12" thickBot="1" x14ac:dyDescent="0.25">
      <c r="A17" s="67" t="s">
        <v>1539</v>
      </c>
      <c r="B17" s="68"/>
      <c r="C17" s="68"/>
      <c r="D17" s="68">
        <f>CapResCapPrj!I22</f>
        <v>0</v>
      </c>
      <c r="E17" s="68"/>
      <c r="F17" s="68"/>
      <c r="G17" s="68">
        <f>+Arbitrage!G19</f>
        <v>0</v>
      </c>
      <c r="H17" s="68">
        <f>SUM(B17:G17)</f>
        <v>0</v>
      </c>
    </row>
    <row r="18" spans="1:8" ht="12.75" thickTop="1" thickBot="1" x14ac:dyDescent="0.25">
      <c r="A18" s="67" t="s">
        <v>1540</v>
      </c>
      <c r="B18" s="68">
        <f t="shared" ref="B18:H18" si="1">SUM(B14:B17)</f>
        <v>0</v>
      </c>
      <c r="C18" s="68">
        <f>SUM(C14:C17)</f>
        <v>0</v>
      </c>
      <c r="D18" s="68">
        <f t="shared" si="1"/>
        <v>0</v>
      </c>
      <c r="E18" s="68">
        <f t="shared" si="1"/>
        <v>0</v>
      </c>
      <c r="F18" s="68">
        <f t="shared" si="1"/>
        <v>0</v>
      </c>
      <c r="G18" s="68">
        <f t="shared" si="1"/>
        <v>0</v>
      </c>
      <c r="H18" s="68">
        <f t="shared" si="1"/>
        <v>0</v>
      </c>
    </row>
    <row r="19" spans="1:8" ht="12" thickTop="1" x14ac:dyDescent="0.2">
      <c r="A19" s="69" t="s">
        <v>1541</v>
      </c>
      <c r="B19" s="77">
        <f>'Page 1 - FY2014-15'!$C7</f>
        <v>0</v>
      </c>
      <c r="C19" s="77">
        <f>'[1]Page 1 - FY2012-13'!$C7</f>
        <v>0</v>
      </c>
      <c r="D19" s="77">
        <f>'Page 1 - FY2014-15'!$C7</f>
        <v>0</v>
      </c>
      <c r="E19" s="77">
        <f>'Page 1 - FY2014-15'!$C7</f>
        <v>0</v>
      </c>
      <c r="F19" s="77">
        <f>'Page 1 - FY2014-15'!$C7</f>
        <v>0</v>
      </c>
      <c r="G19" s="77">
        <f>'Page 1 - FY2014-15'!$C7</f>
        <v>0</v>
      </c>
      <c r="H19" s="77">
        <f>'Page 1 - FY2014-15'!$C7</f>
        <v>0</v>
      </c>
    </row>
    <row r="20" spans="1:8" ht="11.25" x14ac:dyDescent="0.2">
      <c r="A20" s="71" t="s">
        <v>1542</v>
      </c>
      <c r="B20" s="78" t="e">
        <f t="shared" ref="B20:H20" si="2">B18/B19</f>
        <v>#DIV/0!</v>
      </c>
      <c r="C20" s="78" t="e">
        <f>C18/C19</f>
        <v>#DIV/0!</v>
      </c>
      <c r="D20" s="78" t="e">
        <f t="shared" si="2"/>
        <v>#DIV/0!</v>
      </c>
      <c r="E20" s="78" t="e">
        <f t="shared" si="2"/>
        <v>#DIV/0!</v>
      </c>
      <c r="F20" s="78" t="e">
        <f t="shared" si="2"/>
        <v>#DIV/0!</v>
      </c>
      <c r="G20" s="78" t="e">
        <f t="shared" si="2"/>
        <v>#DIV/0!</v>
      </c>
      <c r="H20" s="78" t="e">
        <f t="shared" si="2"/>
        <v>#DIV/0!</v>
      </c>
    </row>
  </sheetData>
  <sheetProtection formatCells="0" formatColumns="0" formatRows="0"/>
  <phoneticPr fontId="15" type="noConversion"/>
  <pageMargins left="0.75" right="0.75" top="1" bottom="1" header="0.5" footer="0.5"/>
  <pageSetup firstPageNumber="59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H9" sqref="H9"/>
    </sheetView>
  </sheetViews>
  <sheetFormatPr defaultColWidth="12" defaultRowHeight="10.5" x14ac:dyDescent="0.15"/>
  <cols>
    <col min="1" max="1" width="33.1640625" customWidth="1"/>
    <col min="2" max="8" width="17.83203125" customWidth="1"/>
  </cols>
  <sheetData>
    <row r="1" spans="1:8" x14ac:dyDescent="0.15">
      <c r="A1">
        <f>+'Page 1 - FY2014-15'!B5</f>
        <v>0</v>
      </c>
      <c r="B1" s="17"/>
      <c r="C1" s="17"/>
      <c r="D1" s="17"/>
      <c r="E1" s="17"/>
      <c r="F1" s="17"/>
      <c r="G1" s="17"/>
      <c r="H1" s="12"/>
    </row>
    <row r="2" spans="1:8" ht="15.75" x14ac:dyDescent="0.25">
      <c r="A2" s="63" t="s">
        <v>1571</v>
      </c>
      <c r="B2" s="17"/>
      <c r="C2" s="17"/>
      <c r="D2" s="17"/>
      <c r="E2" s="17"/>
      <c r="F2" s="17"/>
      <c r="G2" s="17"/>
      <c r="H2" s="17"/>
    </row>
    <row r="4" spans="1:8" ht="11.25" x14ac:dyDescent="0.2">
      <c r="A4" s="27"/>
      <c r="B4" s="64"/>
      <c r="C4" s="64"/>
      <c r="D4" s="127" t="s">
        <v>1357</v>
      </c>
      <c r="E4" s="64" t="s">
        <v>1361</v>
      </c>
      <c r="F4" s="64"/>
      <c r="G4" s="90"/>
      <c r="H4" s="64"/>
    </row>
    <row r="5" spans="1:8" ht="11.25" x14ac:dyDescent="0.2">
      <c r="A5" s="65" t="s">
        <v>1208</v>
      </c>
      <c r="B5" s="65" t="s">
        <v>1562</v>
      </c>
      <c r="C5" s="65" t="s">
        <v>1668</v>
      </c>
      <c r="D5" s="65" t="s">
        <v>1565</v>
      </c>
      <c r="E5" s="118" t="s">
        <v>1566</v>
      </c>
      <c r="F5" s="65" t="s">
        <v>1563</v>
      </c>
      <c r="G5" s="65" t="s">
        <v>1283</v>
      </c>
      <c r="H5" s="65" t="s">
        <v>1206</v>
      </c>
    </row>
    <row r="6" spans="1:8" ht="11.25" x14ac:dyDescent="0.2">
      <c r="A6" s="65"/>
      <c r="B6" s="65" t="s">
        <v>1564</v>
      </c>
      <c r="C6" s="65" t="s">
        <v>1669</v>
      </c>
      <c r="D6" s="65" t="s">
        <v>1568</v>
      </c>
      <c r="E6" s="65" t="s">
        <v>1569</v>
      </c>
      <c r="F6" s="65" t="s">
        <v>1567</v>
      </c>
      <c r="G6" s="65" t="s">
        <v>1284</v>
      </c>
      <c r="H6" s="65" t="s">
        <v>1211</v>
      </c>
    </row>
    <row r="7" spans="1:8" ht="12" thickBot="1" x14ac:dyDescent="0.25">
      <c r="A7" s="29"/>
      <c r="B7" s="66" t="s">
        <v>1480</v>
      </c>
      <c r="C7" s="66" t="s">
        <v>1480</v>
      </c>
      <c r="D7" s="66" t="s">
        <v>1480</v>
      </c>
      <c r="E7" s="66" t="s">
        <v>1480</v>
      </c>
      <c r="F7" s="66" t="s">
        <v>1481</v>
      </c>
      <c r="G7" s="66" t="s">
        <v>1285</v>
      </c>
      <c r="H7" s="66" t="s">
        <v>1570</v>
      </c>
    </row>
    <row r="8" spans="1:8" ht="12" thickTop="1" x14ac:dyDescent="0.2">
      <c r="A8" s="69" t="s">
        <v>1545</v>
      </c>
      <c r="B8" s="73"/>
      <c r="C8" s="73"/>
      <c r="D8" s="73">
        <f>CapResCapPrj!I51</f>
        <v>0</v>
      </c>
      <c r="E8" s="73"/>
      <c r="F8" s="73">
        <f>PupilActAgency!I34+'Trust&amp;Agency'!I33</f>
        <v>0</v>
      </c>
      <c r="G8" s="73">
        <f>'Foundation Fund'!I33</f>
        <v>0</v>
      </c>
      <c r="H8" s="73">
        <f t="shared" ref="H8:H17" si="0">SUM(B8:G8)</f>
        <v>0</v>
      </c>
    </row>
    <row r="9" spans="1:8" ht="11.25" x14ac:dyDescent="0.2">
      <c r="A9" s="69" t="s">
        <v>1546</v>
      </c>
      <c r="B9" s="73"/>
      <c r="C9" s="73"/>
      <c r="D9" s="73"/>
      <c r="E9" s="73"/>
      <c r="F9" s="73"/>
      <c r="G9" s="73"/>
      <c r="H9" s="73">
        <f t="shared" si="0"/>
        <v>0</v>
      </c>
    </row>
    <row r="10" spans="1:8" ht="12" thickBot="1" x14ac:dyDescent="0.25">
      <c r="A10" s="67" t="s">
        <v>1547</v>
      </c>
      <c r="B10" s="68"/>
      <c r="C10" s="68"/>
      <c r="D10" s="68"/>
      <c r="E10" s="68"/>
      <c r="F10" s="68"/>
      <c r="G10" s="68"/>
      <c r="H10" s="68">
        <f t="shared" si="0"/>
        <v>0</v>
      </c>
    </row>
    <row r="11" spans="1:8" ht="12.75" thickTop="1" thickBot="1" x14ac:dyDescent="0.25">
      <c r="A11" s="67" t="s">
        <v>1548</v>
      </c>
      <c r="B11" s="68">
        <f t="shared" ref="B11:G11" si="1">SUM(B8:B10)</f>
        <v>0</v>
      </c>
      <c r="C11" s="68">
        <f t="shared" si="1"/>
        <v>0</v>
      </c>
      <c r="D11" s="68">
        <f t="shared" si="1"/>
        <v>0</v>
      </c>
      <c r="E11" s="68">
        <f t="shared" si="1"/>
        <v>0</v>
      </c>
      <c r="F11" s="68">
        <f t="shared" si="1"/>
        <v>0</v>
      </c>
      <c r="G11" s="68">
        <f t="shared" si="1"/>
        <v>0</v>
      </c>
      <c r="H11" s="68">
        <f t="shared" si="0"/>
        <v>0</v>
      </c>
    </row>
    <row r="12" spans="1:8" ht="12" thickTop="1" x14ac:dyDescent="0.2">
      <c r="A12" s="82" t="s">
        <v>1549</v>
      </c>
      <c r="B12" s="76"/>
      <c r="C12" s="76"/>
      <c r="D12" s="215">
        <f>BuildFund!I43+CapResCapPrj!I70</f>
        <v>0</v>
      </c>
      <c r="E12" s="215">
        <f>SpecBuild!I30</f>
        <v>0</v>
      </c>
      <c r="F12" s="215">
        <f>PupilActAgency!I48+'Trust&amp;Agency'!I47</f>
        <v>0</v>
      </c>
      <c r="G12" s="215">
        <f>'Foundation Fund'!I47</f>
        <v>0</v>
      </c>
      <c r="H12" s="215">
        <f t="shared" si="0"/>
        <v>0</v>
      </c>
    </row>
    <row r="13" spans="1:8" ht="11.25" x14ac:dyDescent="0.2">
      <c r="A13" s="69" t="s">
        <v>1550</v>
      </c>
      <c r="B13" s="73"/>
      <c r="C13" s="73"/>
      <c r="D13" s="73"/>
      <c r="E13" s="73"/>
      <c r="F13" s="73"/>
      <c r="G13" s="73"/>
      <c r="H13" s="73">
        <f t="shared" si="0"/>
        <v>0</v>
      </c>
    </row>
    <row r="14" spans="1:8" ht="11.25" x14ac:dyDescent="0.2">
      <c r="A14" s="69" t="s">
        <v>1551</v>
      </c>
      <c r="B14" s="73"/>
      <c r="C14" s="73"/>
      <c r="D14" s="73"/>
      <c r="E14" s="73"/>
      <c r="F14" s="73"/>
      <c r="G14" s="73"/>
      <c r="H14" s="73">
        <f t="shared" si="0"/>
        <v>0</v>
      </c>
    </row>
    <row r="15" spans="1:8" ht="11.25" x14ac:dyDescent="0.2">
      <c r="A15" s="69" t="s">
        <v>1552</v>
      </c>
      <c r="B15" s="73"/>
      <c r="C15" s="73"/>
      <c r="D15" s="73"/>
      <c r="E15" s="73"/>
      <c r="F15" s="73"/>
      <c r="G15" s="73"/>
      <c r="H15" s="73">
        <f t="shared" si="0"/>
        <v>0</v>
      </c>
    </row>
    <row r="16" spans="1:8" ht="11.25" x14ac:dyDescent="0.2">
      <c r="A16" s="69" t="s">
        <v>1553</v>
      </c>
      <c r="B16" s="73"/>
      <c r="C16" s="73"/>
      <c r="D16" s="73"/>
      <c r="E16" s="73"/>
      <c r="F16" s="73"/>
      <c r="G16" s="73"/>
      <c r="H16" s="73">
        <f t="shared" si="0"/>
        <v>0</v>
      </c>
    </row>
    <row r="17" spans="1:8" ht="12" thickBot="1" x14ac:dyDescent="0.25">
      <c r="A17" s="67" t="s">
        <v>1554</v>
      </c>
      <c r="B17" s="68"/>
      <c r="C17" s="68"/>
      <c r="D17" s="68"/>
      <c r="E17" s="68"/>
      <c r="F17" s="68"/>
      <c r="G17" s="68"/>
      <c r="H17" s="68">
        <f t="shared" si="0"/>
        <v>0</v>
      </c>
    </row>
    <row r="18" spans="1:8" ht="12.75" thickTop="1" thickBot="1" x14ac:dyDescent="0.25">
      <c r="A18" s="67" t="s">
        <v>1555</v>
      </c>
      <c r="B18" s="68">
        <f t="shared" ref="B18:H18" si="2">SUM(B12:B17)</f>
        <v>0</v>
      </c>
      <c r="C18" s="68">
        <f>SUM(C12:C17)</f>
        <v>0</v>
      </c>
      <c r="D18" s="68">
        <f t="shared" si="2"/>
        <v>0</v>
      </c>
      <c r="E18" s="68">
        <f t="shared" si="2"/>
        <v>0</v>
      </c>
      <c r="F18" s="68">
        <f t="shared" si="2"/>
        <v>0</v>
      </c>
      <c r="G18" s="68">
        <f t="shared" si="2"/>
        <v>0</v>
      </c>
      <c r="H18" s="68">
        <f t="shared" si="2"/>
        <v>0</v>
      </c>
    </row>
    <row r="19" spans="1:8" ht="12" thickTop="1" x14ac:dyDescent="0.2">
      <c r="A19" s="69" t="s">
        <v>1556</v>
      </c>
      <c r="B19" s="73"/>
      <c r="C19" s="73"/>
      <c r="D19" s="73"/>
      <c r="E19" s="73"/>
      <c r="F19" s="73"/>
      <c r="G19" s="73"/>
      <c r="H19" s="73">
        <f>SUM(B19:G19)</f>
        <v>0</v>
      </c>
    </row>
    <row r="20" spans="1:8" ht="11.25" x14ac:dyDescent="0.2">
      <c r="A20" s="69" t="s">
        <v>1557</v>
      </c>
      <c r="B20" s="73">
        <f>BondRedm!I32+BondRedm!I33</f>
        <v>0</v>
      </c>
      <c r="C20" s="73">
        <f>[1]NonVoterDebt!I32+[1]NonVoterDebt!I33</f>
        <v>0</v>
      </c>
      <c r="D20" s="73">
        <f>CapResCapPrj!I78</f>
        <v>0</v>
      </c>
      <c r="E20" s="73"/>
      <c r="F20" s="73"/>
      <c r="G20" s="73"/>
      <c r="H20" s="73">
        <f>SUM(B20:G20)</f>
        <v>0</v>
      </c>
    </row>
    <row r="21" spans="1:8" ht="12" thickBot="1" x14ac:dyDescent="0.25">
      <c r="A21" s="67" t="s">
        <v>1572</v>
      </c>
      <c r="B21" s="68">
        <f>+BondRedm!I35+BondRedm!I34</f>
        <v>0</v>
      </c>
      <c r="C21" s="68">
        <f>+[1]NonVoterDebt!I35+[1]NonVoterDebt!I34</f>
        <v>0</v>
      </c>
      <c r="D21" s="68"/>
      <c r="E21" s="68"/>
      <c r="F21" s="68"/>
      <c r="G21" s="68">
        <f>+Arbitrage!G28+Arbitrage!G25</f>
        <v>0</v>
      </c>
      <c r="H21" s="68">
        <f>SUM(B21:G21)</f>
        <v>0</v>
      </c>
    </row>
    <row r="22" spans="1:8" ht="12.75" thickTop="1" thickBot="1" x14ac:dyDescent="0.25">
      <c r="A22" s="84" t="s">
        <v>1559</v>
      </c>
      <c r="B22" s="85">
        <f t="shared" ref="B22:G22" si="3">SUM(B18:B21)+B11</f>
        <v>0</v>
      </c>
      <c r="C22" s="85">
        <f t="shared" si="3"/>
        <v>0</v>
      </c>
      <c r="D22" s="85">
        <f t="shared" si="3"/>
        <v>0</v>
      </c>
      <c r="E22" s="85">
        <f t="shared" si="3"/>
        <v>0</v>
      </c>
      <c r="F22" s="85">
        <f t="shared" si="3"/>
        <v>0</v>
      </c>
      <c r="G22" s="85">
        <f t="shared" si="3"/>
        <v>0</v>
      </c>
      <c r="H22" s="85">
        <f>SUM(B22:G22)</f>
        <v>0</v>
      </c>
    </row>
    <row r="23" spans="1:8" ht="12" thickTop="1" x14ac:dyDescent="0.2">
      <c r="A23" s="69" t="s">
        <v>1541</v>
      </c>
      <c r="B23" s="77">
        <f>'Page 1 - FY2014-15'!$C7</f>
        <v>0</v>
      </c>
      <c r="C23" s="77">
        <f>'[1]Page 1 - FY2012-13'!$C7</f>
        <v>0</v>
      </c>
      <c r="D23" s="77">
        <f>'Page 1 - FY2014-15'!$C7</f>
        <v>0</v>
      </c>
      <c r="E23" s="77">
        <f>'Page 1 - FY2014-15'!$C7</f>
        <v>0</v>
      </c>
      <c r="F23" s="77">
        <f>'Page 1 - FY2014-15'!$C7</f>
        <v>0</v>
      </c>
      <c r="G23" s="77">
        <f>'Page 1 - FY2014-15'!$C7</f>
        <v>0</v>
      </c>
      <c r="H23" s="77">
        <f>'Page 1 - FY2014-15'!$C7</f>
        <v>0</v>
      </c>
    </row>
    <row r="24" spans="1:8" ht="12" thickBot="1" x14ac:dyDescent="0.25">
      <c r="A24" s="69" t="s">
        <v>1560</v>
      </c>
      <c r="B24" s="73" t="e">
        <f t="shared" ref="B24:H24" si="4">B22/B23</f>
        <v>#DIV/0!</v>
      </c>
      <c r="C24" s="73" t="e">
        <f>C22/C23</f>
        <v>#DIV/0!</v>
      </c>
      <c r="D24" s="73" t="e">
        <f t="shared" si="4"/>
        <v>#DIV/0!</v>
      </c>
      <c r="E24" s="73" t="e">
        <f t="shared" si="4"/>
        <v>#DIV/0!</v>
      </c>
      <c r="F24" s="73" t="e">
        <f t="shared" si="4"/>
        <v>#DIV/0!</v>
      </c>
      <c r="G24" s="73" t="e">
        <f t="shared" si="4"/>
        <v>#DIV/0!</v>
      </c>
      <c r="H24" s="73" t="e">
        <f t="shared" si="4"/>
        <v>#DIV/0!</v>
      </c>
    </row>
    <row r="25" spans="1:8" ht="12" thickTop="1" x14ac:dyDescent="0.2">
      <c r="A25" s="86" t="s">
        <v>1222</v>
      </c>
      <c r="B25" s="222" t="str">
        <f>+Arbitrage!D53</f>
        <v>Not Required</v>
      </c>
      <c r="C25" s="222" t="str">
        <f>+[1]Arbitrage!D54</f>
        <v>Provide if required</v>
      </c>
      <c r="D25" s="87">
        <f>BuildFund!I47+CapResCapPrj!I84</f>
        <v>0</v>
      </c>
      <c r="E25" s="87">
        <f>SpecBuild!I34</f>
        <v>0</v>
      </c>
      <c r="F25" s="222" t="s">
        <v>751</v>
      </c>
      <c r="G25" s="222" t="s">
        <v>751</v>
      </c>
      <c r="H25" s="648">
        <f>SUM(B25:G25)</f>
        <v>0</v>
      </c>
    </row>
    <row r="26" spans="1:8" ht="12" thickBot="1" x14ac:dyDescent="0.25">
      <c r="A26" s="67" t="s">
        <v>1144</v>
      </c>
      <c r="B26" s="68">
        <f>BondRedm!I44</f>
        <v>0</v>
      </c>
      <c r="C26" s="68">
        <f>[1]NonVoterDebt!J44</f>
        <v>0</v>
      </c>
      <c r="D26" s="68">
        <f>BuildFund!I51-BuildFund!I47+CapResCapPrj!I88-CapResCapPrj!I84</f>
        <v>0</v>
      </c>
      <c r="E26" s="68">
        <f>SpecBuild!I38-SpecBuild!I34</f>
        <v>0</v>
      </c>
      <c r="F26" s="68">
        <f>PupilActAgency!I57+'Trust&amp;Agency'!I56</f>
        <v>0</v>
      </c>
      <c r="G26" s="68">
        <f>Arbitrage!G32+'Foundation Fund'!I56</f>
        <v>0</v>
      </c>
      <c r="H26" s="68">
        <f>SUM(B26:G26)</f>
        <v>0</v>
      </c>
    </row>
    <row r="27" spans="1:8" ht="12" thickTop="1" x14ac:dyDescent="0.2">
      <c r="A27" s="71" t="s">
        <v>1353</v>
      </c>
      <c r="B27" s="78"/>
      <c r="C27" s="78"/>
      <c r="D27" s="78"/>
      <c r="E27" s="78"/>
      <c r="F27" s="78"/>
      <c r="G27" s="78">
        <f>Arbitrage!G35</f>
        <v>0</v>
      </c>
      <c r="H27" s="78">
        <f>SUM(B27:G27)</f>
        <v>0</v>
      </c>
    </row>
  </sheetData>
  <sheetProtection formatCells="0" formatColumns="0" formatRows="0"/>
  <phoneticPr fontId="15" type="noConversion"/>
  <pageMargins left="0.75" right="0.75" top="1" bottom="1" header="0.5" footer="0.5"/>
  <pageSetup scale="97" firstPageNumber="60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6"/>
  <sheetViews>
    <sheetView zoomScale="60" zoomScaleNormal="6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4" sqref="A4"/>
    </sheetView>
  </sheetViews>
  <sheetFormatPr defaultRowHeight="14.25" zeroHeight="1" x14ac:dyDescent="0.2"/>
  <cols>
    <col min="1" max="1" width="63.1640625" style="711" customWidth="1"/>
    <col min="2" max="2" width="18.83203125" style="695" customWidth="1"/>
    <col min="3" max="3" width="1.6640625" style="696" customWidth="1"/>
    <col min="4" max="4" width="29.33203125" style="236" customWidth="1"/>
    <col min="5" max="5" width="1.6640625" style="696" customWidth="1"/>
    <col min="6" max="6" width="30.33203125" style="236" customWidth="1"/>
    <col min="7" max="7" width="1.6640625" style="696" customWidth="1"/>
    <col min="8" max="8" width="29" style="236" customWidth="1"/>
    <col min="9" max="9" width="1.6640625" style="696" customWidth="1"/>
    <col min="10" max="10" width="29.33203125" style="236" customWidth="1"/>
    <col min="11" max="11" width="1.6640625" style="696" customWidth="1"/>
    <col min="12" max="12" width="30.83203125" style="386" hidden="1" customWidth="1"/>
    <col min="13" max="13" width="1.6640625" style="696" hidden="1" customWidth="1"/>
    <col min="14" max="14" width="30" style="236" customWidth="1"/>
    <col min="15" max="15" width="1.6640625" style="696" customWidth="1"/>
    <col min="16" max="16" width="30.83203125" style="236" customWidth="1"/>
    <col min="17" max="17" width="1.6640625" style="696" customWidth="1"/>
    <col min="18" max="18" width="29" style="236" customWidth="1"/>
    <col min="19" max="19" width="1.6640625" style="696" customWidth="1"/>
    <col min="20" max="20" width="30" style="236" customWidth="1"/>
    <col min="21" max="21" width="1.6640625" style="696" customWidth="1"/>
    <col min="22" max="22" width="30" style="236" customWidth="1"/>
    <col min="23" max="23" width="1.6640625" style="696" customWidth="1"/>
    <col min="24" max="24" width="29.33203125" style="236" customWidth="1"/>
    <col min="25" max="26" width="1.6640625" style="696" customWidth="1"/>
    <col min="27" max="27" width="29.33203125" style="236" customWidth="1"/>
    <col min="28" max="28" width="1.6640625" style="696" customWidth="1"/>
    <col min="29" max="30" width="29.33203125" style="236" customWidth="1"/>
    <col min="31" max="31" width="1.6640625" style="696" customWidth="1"/>
    <col min="32" max="32" width="31.33203125" style="236" customWidth="1"/>
    <col min="33" max="33" width="1.6640625" style="696" customWidth="1"/>
    <col min="34" max="34" width="29.33203125" style="236" customWidth="1"/>
    <col min="35" max="35" width="1.6640625" style="696" customWidth="1"/>
    <col min="36" max="36" width="29.33203125" style="236" customWidth="1"/>
    <col min="37" max="37" width="1.6640625" style="696" customWidth="1"/>
    <col min="38" max="38" width="30.6640625" style="236" customWidth="1"/>
    <col min="39" max="39" width="1.6640625" style="696" customWidth="1"/>
    <col min="40" max="40" width="29.33203125" style="236" customWidth="1"/>
    <col min="41" max="41" width="1.6640625" style="696" customWidth="1"/>
    <col min="42" max="42" width="29.33203125" style="236" customWidth="1"/>
    <col min="43" max="43" width="1.6640625" style="696" customWidth="1"/>
    <col min="44" max="44" width="29.33203125" style="236" customWidth="1"/>
    <col min="45" max="45" width="2.1640625" style="696" customWidth="1"/>
    <col min="46" max="46" width="1.6640625" style="696" customWidth="1"/>
    <col min="47" max="47" width="29.33203125" style="236" customWidth="1"/>
    <col min="48" max="48" width="1.6640625" style="696" customWidth="1"/>
    <col min="49" max="49" width="29.33203125" style="236" customWidth="1"/>
    <col min="50" max="50" width="1.6640625" style="696" customWidth="1"/>
    <col min="51" max="51" width="29.33203125" style="236" customWidth="1"/>
    <col min="52" max="52" width="1.6640625" style="696" customWidth="1"/>
    <col min="53" max="53" width="29.33203125" style="236" customWidth="1"/>
    <col min="54" max="54" width="1.6640625" style="696" customWidth="1"/>
    <col min="55" max="55" width="29.33203125" style="236" customWidth="1"/>
    <col min="56" max="56" width="1.6640625" style="696" customWidth="1"/>
    <col min="57" max="57" width="29.33203125" style="236" customWidth="1"/>
    <col min="58" max="58" width="1.6640625" style="696" customWidth="1"/>
    <col min="59" max="59" width="29.33203125" style="236" customWidth="1"/>
    <col min="60" max="60" width="1.6640625" style="696" customWidth="1"/>
    <col min="61" max="61" width="29.33203125" style="236" customWidth="1"/>
    <col min="62" max="62" width="1.6640625" style="696" customWidth="1"/>
    <col min="63" max="64" width="0" style="696" hidden="1" customWidth="1"/>
    <col min="65" max="65" width="0" style="697" hidden="1" customWidth="1"/>
    <col min="66" max="16384" width="9.33203125" style="698"/>
  </cols>
  <sheetData>
    <row r="1" spans="1:65" ht="53.25" thickBot="1" x14ac:dyDescent="0.45">
      <c r="A1" s="712" t="s">
        <v>1696</v>
      </c>
      <c r="AD1" s="386"/>
    </row>
    <row r="2" spans="1:65" s="258" customFormat="1" ht="74.25" customHeight="1" thickBot="1" x14ac:dyDescent="0.3">
      <c r="A2" s="237" t="s">
        <v>806</v>
      </c>
      <c r="B2" s="238" t="s">
        <v>807</v>
      </c>
      <c r="C2" s="239"/>
      <c r="D2" s="240" t="s">
        <v>808</v>
      </c>
      <c r="E2" s="239"/>
      <c r="F2" s="240" t="s">
        <v>809</v>
      </c>
      <c r="G2" s="239"/>
      <c r="H2" s="240" t="s">
        <v>810</v>
      </c>
      <c r="I2" s="239"/>
      <c r="J2" s="240" t="s">
        <v>811</v>
      </c>
      <c r="K2" s="239"/>
      <c r="L2" s="387" t="s">
        <v>344</v>
      </c>
      <c r="M2" s="242"/>
      <c r="N2" s="240" t="s">
        <v>812</v>
      </c>
      <c r="O2" s="239"/>
      <c r="P2" s="240" t="s">
        <v>813</v>
      </c>
      <c r="Q2" s="239"/>
      <c r="R2" s="241" t="s">
        <v>814</v>
      </c>
      <c r="S2" s="239"/>
      <c r="T2" s="387" t="s">
        <v>345</v>
      </c>
      <c r="U2" s="243"/>
      <c r="V2" s="240" t="s">
        <v>704</v>
      </c>
      <c r="W2" s="243"/>
      <c r="X2" s="240" t="s">
        <v>1286</v>
      </c>
      <c r="Y2" s="239"/>
      <c r="Z2" s="242"/>
      <c r="AA2" s="293" t="s">
        <v>705</v>
      </c>
      <c r="AB2" s="239"/>
      <c r="AC2" s="240" t="s">
        <v>706</v>
      </c>
      <c r="AD2" s="240" t="s">
        <v>1667</v>
      </c>
      <c r="AE2" s="239"/>
      <c r="AF2" s="240" t="s">
        <v>707</v>
      </c>
      <c r="AG2" s="239"/>
      <c r="AH2" s="240" t="s">
        <v>708</v>
      </c>
      <c r="AI2" s="239"/>
      <c r="AJ2" s="240" t="s">
        <v>709</v>
      </c>
      <c r="AK2" s="239"/>
      <c r="AL2" s="240" t="s">
        <v>710</v>
      </c>
      <c r="AM2" s="239"/>
      <c r="AN2" s="240" t="s">
        <v>711</v>
      </c>
      <c r="AO2" s="239"/>
      <c r="AP2" s="240" t="s">
        <v>712</v>
      </c>
      <c r="AQ2" s="239"/>
      <c r="AR2" s="240" t="s">
        <v>866</v>
      </c>
      <c r="AS2" s="242"/>
      <c r="AT2" s="239"/>
      <c r="AU2" s="240" t="s">
        <v>867</v>
      </c>
      <c r="AV2" s="244"/>
      <c r="AW2" s="240" t="s">
        <v>169</v>
      </c>
      <c r="AX2" s="239"/>
      <c r="AY2" s="301" t="s">
        <v>868</v>
      </c>
      <c r="AZ2" s="239"/>
      <c r="BA2" s="301" t="s">
        <v>869</v>
      </c>
      <c r="BB2" s="239"/>
      <c r="BC2" s="240" t="s">
        <v>870</v>
      </c>
      <c r="BD2" s="239"/>
      <c r="BE2" s="240" t="s">
        <v>871</v>
      </c>
      <c r="BF2" s="239"/>
      <c r="BG2" s="387" t="s">
        <v>369</v>
      </c>
      <c r="BH2" s="239"/>
      <c r="BI2" s="240" t="s">
        <v>112</v>
      </c>
      <c r="BJ2" s="239"/>
      <c r="BK2" s="245"/>
      <c r="BL2" s="245"/>
      <c r="BM2" s="246"/>
    </row>
    <row r="3" spans="1:65" s="258" customFormat="1" ht="42.75" customHeight="1" thickBot="1" x14ac:dyDescent="0.3">
      <c r="A3" s="247">
        <f>'Page 1 - FY2014-15'!B5</f>
        <v>0</v>
      </c>
      <c r="B3" s="303">
        <f>'Page 1 - FY2014-15'!F7</f>
        <v>0</v>
      </c>
      <c r="C3" s="248"/>
      <c r="D3" s="249" t="s">
        <v>1697</v>
      </c>
      <c r="E3" s="248"/>
      <c r="F3" s="249" t="s">
        <v>1697</v>
      </c>
      <c r="G3" s="248"/>
      <c r="H3" s="249" t="s">
        <v>1697</v>
      </c>
      <c r="I3" s="248"/>
      <c r="J3" s="249" t="s">
        <v>1697</v>
      </c>
      <c r="K3" s="248"/>
      <c r="L3" s="388" t="s">
        <v>1656</v>
      </c>
      <c r="M3" s="248"/>
      <c r="N3" s="249" t="s">
        <v>1697</v>
      </c>
      <c r="O3" s="248"/>
      <c r="P3" s="249" t="s">
        <v>1697</v>
      </c>
      <c r="Q3" s="248"/>
      <c r="R3" s="249" t="s">
        <v>1697</v>
      </c>
      <c r="S3" s="248"/>
      <c r="T3" s="249" t="s">
        <v>1697</v>
      </c>
      <c r="U3" s="250"/>
      <c r="V3" s="249" t="s">
        <v>1697</v>
      </c>
      <c r="W3" s="250"/>
      <c r="X3" s="249" t="s">
        <v>1697</v>
      </c>
      <c r="Y3" s="248"/>
      <c r="Z3" s="248"/>
      <c r="AA3" s="249" t="s">
        <v>1697</v>
      </c>
      <c r="AB3" s="248"/>
      <c r="AC3" s="249" t="s">
        <v>1697</v>
      </c>
      <c r="AD3" s="249" t="s">
        <v>1697</v>
      </c>
      <c r="AE3" s="248"/>
      <c r="AF3" s="249" t="s">
        <v>1697</v>
      </c>
      <c r="AG3" s="248"/>
      <c r="AH3" s="249" t="s">
        <v>1697</v>
      </c>
      <c r="AI3" s="248"/>
      <c r="AJ3" s="249" t="s">
        <v>1697</v>
      </c>
      <c r="AK3" s="248"/>
      <c r="AL3" s="249" t="s">
        <v>1697</v>
      </c>
      <c r="AM3" s="248"/>
      <c r="AN3" s="249" t="s">
        <v>1697</v>
      </c>
      <c r="AO3" s="248"/>
      <c r="AP3" s="249" t="s">
        <v>1697</v>
      </c>
      <c r="AQ3" s="248"/>
      <c r="AR3" s="249" t="s">
        <v>1697</v>
      </c>
      <c r="AS3" s="248"/>
      <c r="AT3" s="248"/>
      <c r="AU3" s="249" t="s">
        <v>1697</v>
      </c>
      <c r="AV3" s="252"/>
      <c r="AW3" s="249" t="s">
        <v>1697</v>
      </c>
      <c r="AX3" s="248"/>
      <c r="AY3" s="249" t="s">
        <v>1697</v>
      </c>
      <c r="AZ3" s="248"/>
      <c r="BA3" s="249" t="s">
        <v>1697</v>
      </c>
      <c r="BB3" s="248"/>
      <c r="BC3" s="249" t="s">
        <v>1697</v>
      </c>
      <c r="BD3" s="248"/>
      <c r="BE3" s="249" t="s">
        <v>1697</v>
      </c>
      <c r="BF3" s="248"/>
      <c r="BG3" s="249" t="s">
        <v>1697</v>
      </c>
      <c r="BH3" s="248"/>
      <c r="BI3" s="249" t="s">
        <v>1697</v>
      </c>
      <c r="BJ3" s="248"/>
      <c r="BK3" s="245"/>
      <c r="BL3" s="245"/>
      <c r="BM3" s="246"/>
    </row>
    <row r="4" spans="1:65" s="258" customFormat="1" ht="8.25" customHeight="1" x14ac:dyDescent="0.25">
      <c r="A4" s="253"/>
      <c r="B4" s="254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55"/>
      <c r="BL4" s="255"/>
      <c r="BM4" s="256"/>
    </row>
    <row r="5" spans="1:65" s="258" customFormat="1" ht="8.25" customHeight="1" x14ac:dyDescent="0.25">
      <c r="A5" s="256"/>
      <c r="B5" s="257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55"/>
      <c r="BL5" s="255"/>
      <c r="BM5" s="256"/>
    </row>
    <row r="6" spans="1:65" s="258" customFormat="1" ht="21" customHeight="1" thickBot="1" x14ac:dyDescent="0.3">
      <c r="A6" s="258" t="s">
        <v>872</v>
      </c>
      <c r="B6" s="649">
        <f>'Page 1 - FY2014-15'!C7</f>
        <v>0</v>
      </c>
      <c r="C6" s="248"/>
      <c r="D6" s="260"/>
      <c r="E6" s="248"/>
      <c r="F6" s="260"/>
      <c r="G6" s="248"/>
      <c r="H6" s="260"/>
      <c r="I6" s="248"/>
      <c r="J6" s="260"/>
      <c r="K6" s="248"/>
      <c r="L6" s="260"/>
      <c r="M6" s="248"/>
      <c r="N6" s="260"/>
      <c r="O6" s="248"/>
      <c r="P6" s="260"/>
      <c r="Q6" s="248"/>
      <c r="R6" s="260"/>
      <c r="S6" s="248"/>
      <c r="T6" s="260"/>
      <c r="U6" s="248"/>
      <c r="V6" s="260"/>
      <c r="W6" s="248"/>
      <c r="X6" s="260"/>
      <c r="Y6" s="248"/>
      <c r="Z6" s="248"/>
      <c r="AA6" s="298" t="s">
        <v>170</v>
      </c>
      <c r="AB6" s="248"/>
      <c r="AC6" s="260"/>
      <c r="AD6" s="260"/>
      <c r="AE6" s="248"/>
      <c r="AF6" s="260"/>
      <c r="AG6" s="248"/>
      <c r="AH6" s="260"/>
      <c r="AI6" s="248"/>
      <c r="AJ6" s="260"/>
      <c r="AK6" s="248"/>
      <c r="AL6" s="260"/>
      <c r="AM6" s="248"/>
      <c r="AN6" s="260"/>
      <c r="AO6" s="248"/>
      <c r="AP6" s="260"/>
      <c r="AQ6" s="248"/>
      <c r="AR6" s="298" t="s">
        <v>168</v>
      </c>
      <c r="AS6" s="248"/>
      <c r="AT6" s="248"/>
      <c r="AU6" s="260"/>
      <c r="AV6" s="248"/>
      <c r="AW6" s="260"/>
      <c r="AX6" s="248"/>
      <c r="AY6" s="298" t="s">
        <v>166</v>
      </c>
      <c r="AZ6" s="248"/>
      <c r="BA6" s="298" t="s">
        <v>166</v>
      </c>
      <c r="BB6" s="248"/>
      <c r="BC6" s="260"/>
      <c r="BD6" s="248"/>
      <c r="BE6" s="260"/>
      <c r="BF6" s="248"/>
      <c r="BG6" s="260"/>
      <c r="BH6" s="248"/>
      <c r="BI6" s="260"/>
      <c r="BJ6" s="248"/>
      <c r="BK6" s="261"/>
      <c r="BL6" s="261"/>
    </row>
    <row r="7" spans="1:65" s="258" customFormat="1" ht="37.5" customHeight="1" x14ac:dyDescent="0.25">
      <c r="A7" s="246" t="s">
        <v>873</v>
      </c>
      <c r="B7" s="262" t="s">
        <v>874</v>
      </c>
      <c r="C7" s="263"/>
      <c r="D7" s="281">
        <f>GenFundREV!I5</f>
        <v>0</v>
      </c>
      <c r="E7" s="265"/>
      <c r="F7" s="281">
        <f>CharterFundRev!I5</f>
        <v>0</v>
      </c>
      <c r="G7" s="265"/>
      <c r="H7" s="264">
        <f>InsResv!I6</f>
        <v>0</v>
      </c>
      <c r="I7" s="265"/>
      <c r="J7" s="264">
        <f>'CPP Fund'!I7</f>
        <v>0</v>
      </c>
      <c r="K7" s="265"/>
      <c r="L7" s="281">
        <f>ARRAGrants!J6</f>
        <v>0</v>
      </c>
      <c r="M7" s="265"/>
      <c r="N7" s="264">
        <f>CapRes!I6</f>
        <v>0</v>
      </c>
      <c r="O7" s="265"/>
      <c r="P7" s="264">
        <f>GovGrants!J6</f>
        <v>0</v>
      </c>
      <c r="Q7" s="265"/>
      <c r="R7" s="264">
        <f>PupActiv!I6</f>
        <v>0</v>
      </c>
      <c r="S7" s="265"/>
      <c r="T7" s="264">
        <f>FullDayKOverride!I6</f>
        <v>0</v>
      </c>
      <c r="U7" s="265"/>
      <c r="V7" s="264">
        <f>Transp!I6</f>
        <v>0</v>
      </c>
      <c r="W7" s="265"/>
      <c r="X7" s="264">
        <f>OthSpecRev!I7</f>
        <v>0</v>
      </c>
      <c r="Y7" s="265"/>
      <c r="Z7" s="265"/>
      <c r="AA7" s="264">
        <v>0</v>
      </c>
      <c r="AB7" s="265"/>
      <c r="AC7" s="264">
        <f>BondRedm!I6</f>
        <v>0</v>
      </c>
      <c r="AD7" s="264">
        <f>NonVoterDebt!I6</f>
        <v>0</v>
      </c>
      <c r="AE7" s="265"/>
      <c r="AF7" s="264">
        <f>BuildFund!I6</f>
        <v>0</v>
      </c>
      <c r="AG7" s="265"/>
      <c r="AH7" s="264">
        <f>SpecBuild!I6</f>
        <v>0</v>
      </c>
      <c r="AI7" s="265"/>
      <c r="AJ7" s="264">
        <f>CapResCapPrj!I6</f>
        <v>0</v>
      </c>
      <c r="AK7" s="265"/>
      <c r="AL7" s="264">
        <f>OtherEnterprise!I6</f>
        <v>0</v>
      </c>
      <c r="AM7" s="265"/>
      <c r="AN7" s="264">
        <f>FoodServ!I6</f>
        <v>0</v>
      </c>
      <c r="AO7" s="265"/>
      <c r="AP7" s="264">
        <f>OtherInternal!I6</f>
        <v>0</v>
      </c>
      <c r="AQ7" s="265"/>
      <c r="AR7" s="264">
        <v>0</v>
      </c>
      <c r="AS7" s="265"/>
      <c r="AT7" s="265"/>
      <c r="AU7" s="264">
        <f>RiskRelated!I7</f>
        <v>0</v>
      </c>
      <c r="AV7" s="265"/>
      <c r="AW7" s="264">
        <f>'Trust&amp;Agency'!I6</f>
        <v>0</v>
      </c>
      <c r="AX7" s="265"/>
      <c r="AY7" s="264">
        <v>0</v>
      </c>
      <c r="AZ7" s="265"/>
      <c r="BA7" s="264">
        <v>0</v>
      </c>
      <c r="BB7" s="265"/>
      <c r="BC7" s="264">
        <f>PupilActAgency!I6</f>
        <v>0</v>
      </c>
      <c r="BD7" s="265"/>
      <c r="BE7" s="264">
        <f>'Foundation Fund'!I6</f>
        <v>0</v>
      </c>
      <c r="BF7" s="265"/>
      <c r="BG7" s="656">
        <f>Arbitrage!I12</f>
        <v>0</v>
      </c>
      <c r="BH7" s="265"/>
      <c r="BI7" s="264">
        <f t="shared" ref="BI7:BI18" si="0">D7+F7+H7+J7+X7+N7+P7+R7+L7+T7+V7+AA7+AC7+AD7+AF7+AH7+AJ7+AL7+AN7+AP7+AR7+AU7+AW7+AY7+BA7+BC7+BE7+BG7</f>
        <v>0</v>
      </c>
      <c r="BJ7" s="266"/>
      <c r="BK7" s="245"/>
      <c r="BL7" s="245"/>
      <c r="BM7" s="246"/>
    </row>
    <row r="8" spans="1:65" s="258" customFormat="1" ht="16.5" customHeight="1" x14ac:dyDescent="0.25">
      <c r="B8" s="259"/>
      <c r="C8" s="248"/>
      <c r="D8" s="260"/>
      <c r="E8" s="248"/>
      <c r="F8" s="260"/>
      <c r="G8" s="248"/>
      <c r="H8" s="260"/>
      <c r="I8" s="248"/>
      <c r="J8" s="260"/>
      <c r="K8" s="248"/>
      <c r="L8" s="260"/>
      <c r="M8" s="248"/>
      <c r="N8" s="260"/>
      <c r="O8" s="248"/>
      <c r="P8" s="260"/>
      <c r="Q8" s="248"/>
      <c r="R8" s="260"/>
      <c r="S8" s="248"/>
      <c r="T8" s="260"/>
      <c r="U8" s="248"/>
      <c r="V8" s="260"/>
      <c r="W8" s="248"/>
      <c r="X8" s="260"/>
      <c r="Y8" s="248"/>
      <c r="Z8" s="248"/>
      <c r="AA8" s="260"/>
      <c r="AB8" s="248"/>
      <c r="AC8" s="260"/>
      <c r="AD8" s="260"/>
      <c r="AE8" s="248"/>
      <c r="AF8" s="260"/>
      <c r="AG8" s="248"/>
      <c r="AH8" s="260"/>
      <c r="AI8" s="248"/>
      <c r="AJ8" s="260"/>
      <c r="AK8" s="248"/>
      <c r="AL8" s="260"/>
      <c r="AM8" s="248"/>
      <c r="AN8" s="260"/>
      <c r="AO8" s="248"/>
      <c r="AP8" s="260"/>
      <c r="AQ8" s="248"/>
      <c r="AR8" s="260"/>
      <c r="AS8" s="248"/>
      <c r="AT8" s="248"/>
      <c r="AU8" s="260"/>
      <c r="AV8" s="248"/>
      <c r="AW8" s="260"/>
      <c r="AX8" s="248"/>
      <c r="AY8" s="260"/>
      <c r="AZ8" s="248"/>
      <c r="BA8" s="260"/>
      <c r="BB8" s="248"/>
      <c r="BC8" s="260"/>
      <c r="BD8" s="248"/>
      <c r="BE8" s="260"/>
      <c r="BF8" s="248"/>
      <c r="BG8" s="260"/>
      <c r="BH8" s="248"/>
      <c r="BI8" s="264">
        <f t="shared" si="0"/>
        <v>0</v>
      </c>
      <c r="BJ8" s="248"/>
      <c r="BK8" s="261"/>
      <c r="BL8" s="261"/>
    </row>
    <row r="9" spans="1:65" s="282" customFormat="1" ht="20.25" customHeight="1" x14ac:dyDescent="0.3">
      <c r="A9" s="267" t="s">
        <v>875</v>
      </c>
      <c r="B9" s="262"/>
      <c r="C9" s="268"/>
      <c r="D9" s="281"/>
      <c r="E9" s="265"/>
      <c r="F9" s="264"/>
      <c r="G9" s="265"/>
      <c r="H9" s="264"/>
      <c r="I9" s="265"/>
      <c r="J9" s="264"/>
      <c r="K9" s="265"/>
      <c r="L9" s="281"/>
      <c r="M9" s="265"/>
      <c r="N9" s="264"/>
      <c r="O9" s="265"/>
      <c r="P9" s="264"/>
      <c r="Q9" s="265"/>
      <c r="R9" s="264"/>
      <c r="S9" s="265"/>
      <c r="T9" s="264"/>
      <c r="U9" s="265"/>
      <c r="V9" s="264"/>
      <c r="W9" s="265"/>
      <c r="X9" s="264"/>
      <c r="Y9" s="265"/>
      <c r="Z9" s="265"/>
      <c r="AA9" s="264"/>
      <c r="AB9" s="265"/>
      <c r="AC9" s="264"/>
      <c r="AD9" s="264"/>
      <c r="AE9" s="265"/>
      <c r="AF9" s="264"/>
      <c r="AG9" s="265"/>
      <c r="AH9" s="264"/>
      <c r="AI9" s="265"/>
      <c r="AJ9" s="264"/>
      <c r="AK9" s="265"/>
      <c r="AL9" s="264"/>
      <c r="AM9" s="265"/>
      <c r="AN9" s="264"/>
      <c r="AO9" s="265"/>
      <c r="AP9" s="264"/>
      <c r="AQ9" s="265"/>
      <c r="AR9" s="264"/>
      <c r="AS9" s="265"/>
      <c r="AT9" s="265"/>
      <c r="AU9" s="264"/>
      <c r="AV9" s="265"/>
      <c r="AW9" s="264"/>
      <c r="AX9" s="265"/>
      <c r="AY9" s="264"/>
      <c r="AZ9" s="265"/>
      <c r="BA9" s="264"/>
      <c r="BB9" s="265"/>
      <c r="BC9" s="264"/>
      <c r="BD9" s="265"/>
      <c r="BE9" s="264"/>
      <c r="BF9" s="265"/>
      <c r="BG9" s="264"/>
      <c r="BH9" s="265"/>
      <c r="BI9" s="264">
        <f t="shared" si="0"/>
        <v>0</v>
      </c>
      <c r="BJ9" s="268"/>
      <c r="BK9" s="269"/>
      <c r="BL9" s="269"/>
      <c r="BM9" s="270"/>
    </row>
    <row r="10" spans="1:65" s="282" customFormat="1" ht="20.25" customHeight="1" x14ac:dyDescent="0.25">
      <c r="A10" s="246" t="s">
        <v>1146</v>
      </c>
      <c r="B10" s="262" t="s">
        <v>876</v>
      </c>
      <c r="C10" s="268"/>
      <c r="D10" s="281">
        <f>GenFundREV!I45</f>
        <v>0</v>
      </c>
      <c r="E10" s="265"/>
      <c r="F10" s="281">
        <f>CharterFundRev!I45</f>
        <v>0</v>
      </c>
      <c r="G10" s="265"/>
      <c r="H10" s="264">
        <f>SUM(InsResv!I8+InsResv!I9+InsResv!I10)</f>
        <v>0</v>
      </c>
      <c r="I10" s="265"/>
      <c r="J10" s="264">
        <f>'CPP Fund'!I9</f>
        <v>0</v>
      </c>
      <c r="K10" s="265"/>
      <c r="L10" s="281">
        <f>SUM(ARRAGrants!J54:J63)</f>
        <v>0</v>
      </c>
      <c r="M10" s="265"/>
      <c r="N10" s="264">
        <f>SUM(CapRes!I8:I12)</f>
        <v>0</v>
      </c>
      <c r="O10" s="265"/>
      <c r="P10" s="264">
        <f>SUM(GovGrants!J54:J63)</f>
        <v>0</v>
      </c>
      <c r="Q10" s="265"/>
      <c r="R10" s="264">
        <f>SUM(PupActiv!I8:I10)</f>
        <v>0</v>
      </c>
      <c r="S10" s="265"/>
      <c r="T10" s="264">
        <f>SUM(FullDayKOverride!I8:I15)</f>
        <v>0</v>
      </c>
      <c r="U10" s="265"/>
      <c r="V10" s="264">
        <f>SUM(Transp!I8:I15)</f>
        <v>0</v>
      </c>
      <c r="W10" s="265"/>
      <c r="X10" s="264">
        <f>SUM(OthSpecRev!I9+OthSpecRev!I10)</f>
        <v>0</v>
      </c>
      <c r="Y10" s="265"/>
      <c r="Z10" s="265"/>
      <c r="AA10" s="264">
        <v>0</v>
      </c>
      <c r="AB10" s="265"/>
      <c r="AC10" s="264">
        <f>SUM(BondRedm!I8:I14)</f>
        <v>0</v>
      </c>
      <c r="AD10" s="264">
        <f>SUM([1]NonVoterDebt!I8:I14)</f>
        <v>0</v>
      </c>
      <c r="AE10" s="265"/>
      <c r="AF10" s="264">
        <f>SUM(NonVoterDebt!I8:I14)</f>
        <v>0</v>
      </c>
      <c r="AG10" s="265"/>
      <c r="AH10" s="264">
        <f>SUM(SpecBuild!I8:I11)</f>
        <v>0</v>
      </c>
      <c r="AI10" s="265"/>
      <c r="AJ10" s="264">
        <f>SUM(CapResCapPrj!I8:I12)</f>
        <v>0</v>
      </c>
      <c r="AK10" s="265"/>
      <c r="AL10" s="264">
        <f>SUM(OtherEnterprise!I9:I13)</f>
        <v>0</v>
      </c>
      <c r="AM10" s="265"/>
      <c r="AN10" s="264">
        <f>SUM(FoodServ!I9:I12)</f>
        <v>0</v>
      </c>
      <c r="AO10" s="265"/>
      <c r="AP10" s="264">
        <f>SUM(OtherInternal!I8:I15)</f>
        <v>0</v>
      </c>
      <c r="AQ10" s="265"/>
      <c r="AR10" s="264">
        <v>0</v>
      </c>
      <c r="AS10" s="265"/>
      <c r="AT10" s="265"/>
      <c r="AU10" s="264">
        <f>SUM(RiskRelated!I9:I11)</f>
        <v>0</v>
      </c>
      <c r="AV10" s="265"/>
      <c r="AW10" s="264">
        <f>'Trust&amp;Agency'!I9</f>
        <v>0</v>
      </c>
      <c r="AX10" s="265"/>
      <c r="AY10" s="264">
        <v>0</v>
      </c>
      <c r="AZ10" s="265"/>
      <c r="BA10" s="264">
        <v>0</v>
      </c>
      <c r="BB10" s="265"/>
      <c r="BC10" s="264">
        <f>SUM(PupilActAgency!I8:I10)</f>
        <v>0</v>
      </c>
      <c r="BD10" s="265"/>
      <c r="BE10" s="264">
        <f>'Foundation Fund'!I9</f>
        <v>0</v>
      </c>
      <c r="BF10" s="265"/>
      <c r="BG10" s="656">
        <f>SUM(Arbitrage!G15:G17)</f>
        <v>0</v>
      </c>
      <c r="BH10" s="265"/>
      <c r="BI10" s="264">
        <f t="shared" si="0"/>
        <v>0</v>
      </c>
      <c r="BJ10" s="268"/>
      <c r="BK10" s="269"/>
      <c r="BL10" s="269"/>
      <c r="BM10" s="270"/>
    </row>
    <row r="11" spans="1:65" s="282" customFormat="1" ht="21.75" customHeight="1" x14ac:dyDescent="0.25">
      <c r="A11" s="246"/>
      <c r="B11" s="262"/>
      <c r="C11" s="268"/>
      <c r="D11" s="281"/>
      <c r="E11" s="265"/>
      <c r="F11" s="264"/>
      <c r="G11" s="265"/>
      <c r="H11" s="264"/>
      <c r="I11" s="265"/>
      <c r="J11" s="264"/>
      <c r="K11" s="265"/>
      <c r="L11" s="281"/>
      <c r="M11" s="265"/>
      <c r="N11" s="264"/>
      <c r="O11" s="265"/>
      <c r="P11" s="264"/>
      <c r="Q11" s="265"/>
      <c r="R11" s="264"/>
      <c r="S11" s="265"/>
      <c r="T11" s="264"/>
      <c r="U11" s="265"/>
      <c r="V11" s="264"/>
      <c r="W11" s="265"/>
      <c r="X11" s="264"/>
      <c r="Y11" s="265"/>
      <c r="Z11" s="265"/>
      <c r="AA11" s="264"/>
      <c r="AB11" s="265"/>
      <c r="AC11" s="264"/>
      <c r="AD11" s="264"/>
      <c r="AE11" s="265"/>
      <c r="AF11" s="264"/>
      <c r="AG11" s="265"/>
      <c r="AH11" s="264"/>
      <c r="AI11" s="265"/>
      <c r="AJ11" s="264"/>
      <c r="AK11" s="265"/>
      <c r="AL11" s="264"/>
      <c r="AM11" s="265"/>
      <c r="AN11" s="264"/>
      <c r="AO11" s="265"/>
      <c r="AP11" s="264"/>
      <c r="AQ11" s="265"/>
      <c r="AR11" s="264"/>
      <c r="AS11" s="265"/>
      <c r="AT11" s="265"/>
      <c r="AU11" s="264"/>
      <c r="AV11" s="265"/>
      <c r="AW11" s="264"/>
      <c r="AX11" s="265"/>
      <c r="AY11" s="264"/>
      <c r="AZ11" s="265"/>
      <c r="BA11" s="264"/>
      <c r="BB11" s="265"/>
      <c r="BC11" s="264"/>
      <c r="BD11" s="265"/>
      <c r="BE11" s="264"/>
      <c r="BF11" s="265"/>
      <c r="BG11" s="264"/>
      <c r="BH11" s="265"/>
      <c r="BI11" s="264">
        <f t="shared" si="0"/>
        <v>0</v>
      </c>
      <c r="BJ11" s="268"/>
      <c r="BK11" s="269"/>
      <c r="BL11" s="269"/>
      <c r="BM11" s="270"/>
    </row>
    <row r="12" spans="1:65" s="282" customFormat="1" ht="21.75" customHeight="1" x14ac:dyDescent="0.25">
      <c r="A12" s="246" t="s">
        <v>1149</v>
      </c>
      <c r="B12" s="262" t="s">
        <v>877</v>
      </c>
      <c r="C12" s="263"/>
      <c r="D12" s="281">
        <f>GenFundREV!I48</f>
        <v>0</v>
      </c>
      <c r="E12" s="265"/>
      <c r="F12" s="264">
        <f>CharterFundRev!I48</f>
        <v>0</v>
      </c>
      <c r="G12" s="265"/>
      <c r="H12" s="264">
        <v>0</v>
      </c>
      <c r="I12" s="265"/>
      <c r="J12" s="264">
        <f>'CPP Fund'!I10</f>
        <v>0</v>
      </c>
      <c r="K12" s="265"/>
      <c r="L12" s="281"/>
      <c r="M12" s="265"/>
      <c r="N12" s="264">
        <f>CapRes!I13</f>
        <v>0</v>
      </c>
      <c r="O12" s="265"/>
      <c r="P12" s="264"/>
      <c r="Q12" s="265"/>
      <c r="R12" s="264">
        <f>PupActiv!I11</f>
        <v>0</v>
      </c>
      <c r="S12" s="265"/>
      <c r="T12" s="264"/>
      <c r="U12" s="265"/>
      <c r="V12" s="264"/>
      <c r="W12" s="265"/>
      <c r="X12" s="264"/>
      <c r="Y12" s="265"/>
      <c r="Z12" s="265"/>
      <c r="AA12" s="264">
        <v>0</v>
      </c>
      <c r="AB12" s="265"/>
      <c r="AC12" s="264">
        <f>BondRedm!I15</f>
        <v>0</v>
      </c>
      <c r="AD12" s="264">
        <f>NonVoterDebt!I15</f>
        <v>0</v>
      </c>
      <c r="AE12" s="265"/>
      <c r="AF12" s="264"/>
      <c r="AG12" s="265"/>
      <c r="AH12" s="264"/>
      <c r="AI12" s="265"/>
      <c r="AJ12" s="264">
        <f>CapResCapPrj!I13</f>
        <v>0</v>
      </c>
      <c r="AK12" s="265"/>
      <c r="AL12" s="264"/>
      <c r="AM12" s="265"/>
      <c r="AN12" s="264"/>
      <c r="AO12" s="265"/>
      <c r="AP12" s="264"/>
      <c r="AQ12" s="265"/>
      <c r="AR12" s="264">
        <v>0</v>
      </c>
      <c r="AS12" s="265"/>
      <c r="AT12" s="265"/>
      <c r="AU12" s="264"/>
      <c r="AV12" s="265"/>
      <c r="AW12" s="264"/>
      <c r="AX12" s="265"/>
      <c r="AY12" s="264">
        <v>0</v>
      </c>
      <c r="AZ12" s="265"/>
      <c r="BA12" s="264">
        <v>0</v>
      </c>
      <c r="BB12" s="265"/>
      <c r="BC12" s="264"/>
      <c r="BD12" s="265"/>
      <c r="BE12" s="264"/>
      <c r="BF12" s="265"/>
      <c r="BG12" s="264"/>
      <c r="BH12" s="265"/>
      <c r="BI12" s="264">
        <f t="shared" si="0"/>
        <v>0</v>
      </c>
      <c r="BJ12" s="266"/>
      <c r="BK12" s="269"/>
      <c r="BL12" s="269"/>
      <c r="BM12" s="270"/>
    </row>
    <row r="13" spans="1:65" s="282" customFormat="1" ht="21.75" customHeight="1" x14ac:dyDescent="0.25">
      <c r="A13" s="246"/>
      <c r="B13" s="262"/>
      <c r="C13" s="268"/>
      <c r="D13" s="281"/>
      <c r="E13" s="265"/>
      <c r="F13" s="264"/>
      <c r="G13" s="265"/>
      <c r="H13" s="264"/>
      <c r="I13" s="265"/>
      <c r="J13" s="264"/>
      <c r="K13" s="265"/>
      <c r="L13" s="281"/>
      <c r="M13" s="265"/>
      <c r="N13" s="264"/>
      <c r="O13" s="265"/>
      <c r="P13" s="264"/>
      <c r="Q13" s="265"/>
      <c r="R13" s="264"/>
      <c r="S13" s="265"/>
      <c r="T13" s="264"/>
      <c r="U13" s="265"/>
      <c r="V13" s="264"/>
      <c r="W13" s="265"/>
      <c r="X13" s="264"/>
      <c r="Y13" s="265"/>
      <c r="Z13" s="265"/>
      <c r="AA13" s="264"/>
      <c r="AB13" s="265"/>
      <c r="AC13" s="264"/>
      <c r="AD13" s="264"/>
      <c r="AE13" s="265"/>
      <c r="AF13" s="264"/>
      <c r="AG13" s="265"/>
      <c r="AH13" s="264"/>
      <c r="AI13" s="265"/>
      <c r="AJ13" s="264"/>
      <c r="AK13" s="265"/>
      <c r="AL13" s="264"/>
      <c r="AM13" s="265"/>
      <c r="AN13" s="264"/>
      <c r="AO13" s="265"/>
      <c r="AP13" s="264"/>
      <c r="AQ13" s="265"/>
      <c r="AR13" s="264"/>
      <c r="AS13" s="265"/>
      <c r="AT13" s="265"/>
      <c r="AU13" s="264"/>
      <c r="AV13" s="265"/>
      <c r="AW13" s="264"/>
      <c r="AX13" s="265"/>
      <c r="AY13" s="264"/>
      <c r="AZ13" s="265"/>
      <c r="BA13" s="264"/>
      <c r="BB13" s="265"/>
      <c r="BC13" s="264"/>
      <c r="BD13" s="265"/>
      <c r="BE13" s="264"/>
      <c r="BF13" s="265"/>
      <c r="BG13" s="264"/>
      <c r="BH13" s="265"/>
      <c r="BI13" s="264">
        <f t="shared" si="0"/>
        <v>0</v>
      </c>
      <c r="BJ13" s="268"/>
      <c r="BK13" s="269"/>
      <c r="BL13" s="269"/>
      <c r="BM13" s="270"/>
    </row>
    <row r="14" spans="1:65" s="282" customFormat="1" ht="21.75" customHeight="1" x14ac:dyDescent="0.25">
      <c r="A14" s="246" t="s">
        <v>1150</v>
      </c>
      <c r="B14" s="262" t="s">
        <v>878</v>
      </c>
      <c r="C14" s="268"/>
      <c r="D14" s="281">
        <f>GenFundREV!I75</f>
        <v>0</v>
      </c>
      <c r="E14" s="265"/>
      <c r="F14" s="264">
        <f>CharterFundRev!I74</f>
        <v>0</v>
      </c>
      <c r="G14" s="265"/>
      <c r="H14" s="264">
        <f>InsResv!I11</f>
        <v>0</v>
      </c>
      <c r="I14" s="265"/>
      <c r="J14" s="264">
        <f>'CPP Fund'!I11</f>
        <v>0</v>
      </c>
      <c r="K14" s="265"/>
      <c r="L14" s="281">
        <f>SUM(ARRAGrants!J10:J21)</f>
        <v>0</v>
      </c>
      <c r="M14" s="265"/>
      <c r="N14" s="264">
        <f>SUM(CapRes!I14:I17)</f>
        <v>0</v>
      </c>
      <c r="O14" s="265"/>
      <c r="P14" s="264">
        <f>SUM(GovGrants!J10:J21)</f>
        <v>0</v>
      </c>
      <c r="Q14" s="265"/>
      <c r="R14" s="264">
        <f>PupActiv!I12</f>
        <v>0</v>
      </c>
      <c r="S14" s="265"/>
      <c r="T14" s="264">
        <f>FullDayKOverride!I16</f>
        <v>0</v>
      </c>
      <c r="U14" s="265"/>
      <c r="V14" s="264">
        <f>Transp!I16</f>
        <v>0</v>
      </c>
      <c r="W14" s="265"/>
      <c r="X14" s="264">
        <f>OthSpecRev!I11</f>
        <v>0</v>
      </c>
      <c r="Y14" s="265"/>
      <c r="Z14" s="265"/>
      <c r="AA14" s="264">
        <v>0</v>
      </c>
      <c r="AB14" s="265"/>
      <c r="AC14" s="264"/>
      <c r="AD14" s="264"/>
      <c r="AE14" s="265"/>
      <c r="AF14" s="264">
        <f>BuildFund!I10</f>
        <v>0</v>
      </c>
      <c r="AG14" s="265"/>
      <c r="AH14" s="264"/>
      <c r="AI14" s="265"/>
      <c r="AJ14" s="264">
        <f>SUM(CapResCapPrj!I14:I17)</f>
        <v>0</v>
      </c>
      <c r="AK14" s="265"/>
      <c r="AL14" s="264"/>
      <c r="AM14" s="265"/>
      <c r="AN14" s="264">
        <f>SUM(FoodServ!I13:I15)</f>
        <v>0</v>
      </c>
      <c r="AO14" s="265"/>
      <c r="AP14" s="264"/>
      <c r="AQ14" s="265"/>
      <c r="AR14" s="264">
        <v>0</v>
      </c>
      <c r="AS14" s="265"/>
      <c r="AT14" s="265"/>
      <c r="AU14" s="264"/>
      <c r="AV14" s="265"/>
      <c r="AW14" s="264"/>
      <c r="AX14" s="265"/>
      <c r="AY14" s="264">
        <v>0</v>
      </c>
      <c r="AZ14" s="265"/>
      <c r="BA14" s="264">
        <v>0</v>
      </c>
      <c r="BB14" s="265"/>
      <c r="BC14" s="264"/>
      <c r="BD14" s="265"/>
      <c r="BE14" s="264"/>
      <c r="BF14" s="265"/>
      <c r="BG14" s="264"/>
      <c r="BH14" s="265"/>
      <c r="BI14" s="264">
        <f t="shared" si="0"/>
        <v>0</v>
      </c>
      <c r="BJ14" s="268"/>
      <c r="BK14" s="269"/>
      <c r="BL14" s="269"/>
      <c r="BM14" s="270"/>
    </row>
    <row r="15" spans="1:65" s="282" customFormat="1" ht="24.75" customHeight="1" x14ac:dyDescent="0.25">
      <c r="A15" s="246"/>
      <c r="B15" s="262"/>
      <c r="C15" s="265"/>
      <c r="D15" s="281"/>
      <c r="E15" s="265"/>
      <c r="F15" s="264"/>
      <c r="G15" s="265"/>
      <c r="H15" s="264"/>
      <c r="I15" s="265"/>
      <c r="J15" s="264"/>
      <c r="K15" s="265"/>
      <c r="L15" s="281"/>
      <c r="M15" s="265"/>
      <c r="N15" s="264"/>
      <c r="O15" s="265"/>
      <c r="P15" s="264"/>
      <c r="Q15" s="265"/>
      <c r="R15" s="264"/>
      <c r="S15" s="265"/>
      <c r="T15" s="264"/>
      <c r="U15" s="265"/>
      <c r="V15" s="264"/>
      <c r="W15" s="265"/>
      <c r="X15" s="264"/>
      <c r="Y15" s="265"/>
      <c r="Z15" s="265"/>
      <c r="AA15" s="264"/>
      <c r="AB15" s="265"/>
      <c r="AC15" s="264"/>
      <c r="AD15" s="264"/>
      <c r="AE15" s="265"/>
      <c r="AF15" s="264"/>
      <c r="AG15" s="265"/>
      <c r="AH15" s="264"/>
      <c r="AI15" s="265"/>
      <c r="AJ15" s="264"/>
      <c r="AK15" s="265"/>
      <c r="AL15" s="264"/>
      <c r="AM15" s="265"/>
      <c r="AN15" s="264"/>
      <c r="AO15" s="265"/>
      <c r="AP15" s="264"/>
      <c r="AQ15" s="265"/>
      <c r="AR15" s="264"/>
      <c r="AS15" s="265"/>
      <c r="AT15" s="265"/>
      <c r="AU15" s="264"/>
      <c r="AV15" s="265"/>
      <c r="AW15" s="264"/>
      <c r="AX15" s="265"/>
      <c r="AY15" s="264"/>
      <c r="AZ15" s="265"/>
      <c r="BA15" s="264"/>
      <c r="BB15" s="265"/>
      <c r="BC15" s="264"/>
      <c r="BD15" s="265"/>
      <c r="BE15" s="264"/>
      <c r="BF15" s="265"/>
      <c r="BG15" s="264"/>
      <c r="BH15" s="265"/>
      <c r="BI15" s="264">
        <f t="shared" si="0"/>
        <v>0</v>
      </c>
      <c r="BJ15" s="265"/>
      <c r="BK15" s="269"/>
      <c r="BL15" s="269"/>
      <c r="BM15" s="270"/>
    </row>
    <row r="16" spans="1:65" s="282" customFormat="1" ht="21.75" customHeight="1" x14ac:dyDescent="0.25">
      <c r="A16" s="246" t="s">
        <v>1151</v>
      </c>
      <c r="B16" s="262" t="s">
        <v>879</v>
      </c>
      <c r="C16" s="265"/>
      <c r="D16" s="281">
        <f>GenFundREV!I91</f>
        <v>0</v>
      </c>
      <c r="E16" s="265"/>
      <c r="F16" s="264">
        <f>CharterFundRev!I89</f>
        <v>0</v>
      </c>
      <c r="G16" s="265"/>
      <c r="H16" s="264">
        <v>0</v>
      </c>
      <c r="I16" s="265"/>
      <c r="J16" s="264">
        <f>'CPP Fund'!I12</f>
        <v>0</v>
      </c>
      <c r="K16" s="265"/>
      <c r="L16" s="281">
        <f>SUM(ARRAGrants!J29:J48)</f>
        <v>0</v>
      </c>
      <c r="M16" s="265"/>
      <c r="N16" s="264">
        <f>SUM(CapRes!I18)</f>
        <v>0</v>
      </c>
      <c r="O16" s="265"/>
      <c r="P16" s="264">
        <f>SUM(GovGrants!J29:J48)</f>
        <v>0</v>
      </c>
      <c r="Q16" s="265"/>
      <c r="R16" s="264">
        <f>PupActiv!I13</f>
        <v>0</v>
      </c>
      <c r="S16" s="265"/>
      <c r="T16" s="264"/>
      <c r="U16" s="265"/>
      <c r="V16" s="264"/>
      <c r="W16" s="265"/>
      <c r="X16" s="264">
        <f>OthSpecRev!I12</f>
        <v>0</v>
      </c>
      <c r="Y16" s="265"/>
      <c r="Z16" s="265"/>
      <c r="AA16" s="264">
        <v>0</v>
      </c>
      <c r="AB16" s="265"/>
      <c r="AC16" s="264"/>
      <c r="AD16" s="264"/>
      <c r="AE16" s="265"/>
      <c r="AF16" s="264">
        <f>BuildFund!I11</f>
        <v>0</v>
      </c>
      <c r="AG16" s="265"/>
      <c r="AH16" s="264"/>
      <c r="AI16" s="265"/>
      <c r="AJ16" s="264">
        <f>CapResCapPrj!I18</f>
        <v>0</v>
      </c>
      <c r="AK16" s="265"/>
      <c r="AL16" s="264"/>
      <c r="AM16" s="265"/>
      <c r="AN16" s="264">
        <f>SUM(FoodServ!I16:I18)</f>
        <v>0</v>
      </c>
      <c r="AO16" s="265"/>
      <c r="AP16" s="264"/>
      <c r="AQ16" s="265"/>
      <c r="AR16" s="264">
        <v>0</v>
      </c>
      <c r="AS16" s="265"/>
      <c r="AT16" s="265"/>
      <c r="AU16" s="264"/>
      <c r="AV16" s="265"/>
      <c r="AW16" s="264"/>
      <c r="AX16" s="265"/>
      <c r="AY16" s="264">
        <v>0</v>
      </c>
      <c r="AZ16" s="265"/>
      <c r="BA16" s="264">
        <v>0</v>
      </c>
      <c r="BB16" s="265"/>
      <c r="BC16" s="264"/>
      <c r="BD16" s="265"/>
      <c r="BE16" s="264"/>
      <c r="BF16" s="265"/>
      <c r="BG16" s="264"/>
      <c r="BH16" s="265"/>
      <c r="BI16" s="264">
        <f t="shared" si="0"/>
        <v>0</v>
      </c>
      <c r="BJ16" s="265"/>
      <c r="BK16" s="269"/>
      <c r="BL16" s="269"/>
      <c r="BM16" s="270"/>
    </row>
    <row r="17" spans="1:65" s="282" customFormat="1" ht="21.75" customHeight="1" thickBot="1" x14ac:dyDescent="0.3">
      <c r="A17" s="246"/>
      <c r="B17" s="262"/>
      <c r="C17" s="265"/>
      <c r="D17" s="264"/>
      <c r="E17" s="265"/>
      <c r="F17" s="264"/>
      <c r="G17" s="265"/>
      <c r="H17" s="264"/>
      <c r="I17" s="265"/>
      <c r="J17" s="264"/>
      <c r="K17" s="265"/>
      <c r="L17" s="281"/>
      <c r="M17" s="265"/>
      <c r="N17" s="264"/>
      <c r="O17" s="265"/>
      <c r="P17" s="264"/>
      <c r="Q17" s="265"/>
      <c r="R17" s="264"/>
      <c r="S17" s="265"/>
      <c r="T17" s="264"/>
      <c r="U17" s="265"/>
      <c r="V17" s="264"/>
      <c r="W17" s="265"/>
      <c r="X17" s="264"/>
      <c r="Y17" s="265"/>
      <c r="Z17" s="265"/>
      <c r="AA17" s="264"/>
      <c r="AB17" s="265"/>
      <c r="AC17" s="264"/>
      <c r="AD17" s="264"/>
      <c r="AE17" s="265"/>
      <c r="AF17" s="264"/>
      <c r="AG17" s="265"/>
      <c r="AH17" s="264"/>
      <c r="AI17" s="265"/>
      <c r="AJ17" s="264"/>
      <c r="AK17" s="265"/>
      <c r="AL17" s="264"/>
      <c r="AM17" s="265"/>
      <c r="AN17" s="264"/>
      <c r="AO17" s="265"/>
      <c r="AP17" s="264"/>
      <c r="AQ17" s="265"/>
      <c r="AR17" s="264"/>
      <c r="AS17" s="265"/>
      <c r="AT17" s="265"/>
      <c r="AU17" s="264"/>
      <c r="AV17" s="265"/>
      <c r="AW17" s="264"/>
      <c r="AX17" s="265"/>
      <c r="AY17" s="264"/>
      <c r="AZ17" s="265"/>
      <c r="BA17" s="264"/>
      <c r="BB17" s="265"/>
      <c r="BC17" s="264"/>
      <c r="BD17" s="265"/>
      <c r="BE17" s="264"/>
      <c r="BF17" s="265"/>
      <c r="BG17" s="264"/>
      <c r="BH17" s="265"/>
      <c r="BI17" s="264">
        <f t="shared" si="0"/>
        <v>0</v>
      </c>
      <c r="BJ17" s="265"/>
      <c r="BK17" s="269"/>
      <c r="BL17" s="269"/>
      <c r="BM17" s="270"/>
    </row>
    <row r="18" spans="1:65" s="282" customFormat="1" ht="20.25" customHeight="1" thickBot="1" x14ac:dyDescent="0.3">
      <c r="A18" s="271" t="s">
        <v>880</v>
      </c>
      <c r="B18" s="272"/>
      <c r="C18" s="273"/>
      <c r="D18" s="274">
        <f>SUM(D10:D17)</f>
        <v>0</v>
      </c>
      <c r="E18" s="275"/>
      <c r="F18" s="274">
        <f>SUM(F10:F17)</f>
        <v>0</v>
      </c>
      <c r="G18" s="275"/>
      <c r="H18" s="274">
        <f>SUM(H10:H17)</f>
        <v>0</v>
      </c>
      <c r="I18" s="275"/>
      <c r="J18" s="274">
        <f>SUM(J10:J17)</f>
        <v>0</v>
      </c>
      <c r="K18" s="275"/>
      <c r="L18" s="274">
        <f>SUM(L10:L17)</f>
        <v>0</v>
      </c>
      <c r="M18" s="275"/>
      <c r="N18" s="274">
        <f>SUM(N10:N17)</f>
        <v>0</v>
      </c>
      <c r="O18" s="275"/>
      <c r="P18" s="274">
        <f>SUM(P10:P17)</f>
        <v>0</v>
      </c>
      <c r="Q18" s="275"/>
      <c r="R18" s="274">
        <f>SUM(R10:R17)</f>
        <v>0</v>
      </c>
      <c r="S18" s="275"/>
      <c r="T18" s="274">
        <f>SUM(T10:T17)</f>
        <v>0</v>
      </c>
      <c r="U18" s="275"/>
      <c r="V18" s="274">
        <f>SUM(V10:V17)</f>
        <v>0</v>
      </c>
      <c r="W18" s="275"/>
      <c r="X18" s="274">
        <f>SUM(X10:X17)</f>
        <v>0</v>
      </c>
      <c r="Y18" s="275"/>
      <c r="Z18" s="275"/>
      <c r="AA18" s="274">
        <f>SUM(AA10:AA17)</f>
        <v>0</v>
      </c>
      <c r="AB18" s="275"/>
      <c r="AC18" s="274">
        <f>SUM(AC10:AC17)</f>
        <v>0</v>
      </c>
      <c r="AD18" s="274">
        <f>SUM(AD10:AD17)</f>
        <v>0</v>
      </c>
      <c r="AE18" s="275"/>
      <c r="AF18" s="274">
        <f>SUM(AF10:AF17)</f>
        <v>0</v>
      </c>
      <c r="AG18" s="275"/>
      <c r="AH18" s="274">
        <f>SUM(AH10:AH17)</f>
        <v>0</v>
      </c>
      <c r="AI18" s="275"/>
      <c r="AJ18" s="274">
        <f>SUM(AJ10:AJ17)</f>
        <v>0</v>
      </c>
      <c r="AK18" s="275"/>
      <c r="AL18" s="274">
        <f>SUM(AL10:AL17)</f>
        <v>0</v>
      </c>
      <c r="AM18" s="275"/>
      <c r="AN18" s="274">
        <f>SUM(AN10:AN17)</f>
        <v>0</v>
      </c>
      <c r="AO18" s="275"/>
      <c r="AP18" s="274">
        <f>SUM(AP10:AP17)</f>
        <v>0</v>
      </c>
      <c r="AQ18" s="275"/>
      <c r="AR18" s="274">
        <f>SUM(AR10:AR17)</f>
        <v>0</v>
      </c>
      <c r="AS18" s="275"/>
      <c r="AT18" s="275"/>
      <c r="AU18" s="274">
        <f>SUM(AU10:AU17)</f>
        <v>0</v>
      </c>
      <c r="AV18" s="275"/>
      <c r="AW18" s="274">
        <f>SUM(AW10:AW17)</f>
        <v>0</v>
      </c>
      <c r="AX18" s="275"/>
      <c r="AY18" s="274">
        <f>SUM(AY10:AY17)</f>
        <v>0</v>
      </c>
      <c r="AZ18" s="275"/>
      <c r="BA18" s="274">
        <f>SUM(BA10:BA17)</f>
        <v>0</v>
      </c>
      <c r="BB18" s="275"/>
      <c r="BC18" s="274">
        <f>SUM(BC10:BC17)</f>
        <v>0</v>
      </c>
      <c r="BD18" s="275"/>
      <c r="BE18" s="274">
        <f>SUM(BE10:BE17)</f>
        <v>0</v>
      </c>
      <c r="BF18" s="275"/>
      <c r="BG18" s="274">
        <f>SUM(BG10:BG17)</f>
        <v>0</v>
      </c>
      <c r="BH18" s="275"/>
      <c r="BI18" s="274">
        <f t="shared" si="0"/>
        <v>0</v>
      </c>
      <c r="BJ18" s="275"/>
      <c r="BK18" s="276"/>
      <c r="BL18" s="276"/>
      <c r="BM18" s="270"/>
    </row>
    <row r="19" spans="1:65" s="282" customFormat="1" ht="18" x14ac:dyDescent="0.25">
      <c r="A19" s="246"/>
      <c r="B19" s="262"/>
      <c r="C19" s="265"/>
      <c r="D19" s="264"/>
      <c r="E19" s="265"/>
      <c r="F19" s="264"/>
      <c r="G19" s="265"/>
      <c r="H19" s="264"/>
      <c r="I19" s="265"/>
      <c r="J19" s="264"/>
      <c r="K19" s="265"/>
      <c r="L19" s="281"/>
      <c r="M19" s="265"/>
      <c r="N19" s="264"/>
      <c r="O19" s="265"/>
      <c r="P19" s="264"/>
      <c r="Q19" s="265"/>
      <c r="R19" s="264"/>
      <c r="S19" s="265"/>
      <c r="T19" s="264"/>
      <c r="U19" s="265"/>
      <c r="V19" s="264"/>
      <c r="W19" s="265"/>
      <c r="X19" s="264"/>
      <c r="Y19" s="265"/>
      <c r="Z19" s="265"/>
      <c r="AA19" s="264"/>
      <c r="AB19" s="265"/>
      <c r="AC19" s="264"/>
      <c r="AD19" s="264"/>
      <c r="AE19" s="265"/>
      <c r="AF19" s="264"/>
      <c r="AG19" s="265"/>
      <c r="AH19" s="264"/>
      <c r="AI19" s="265"/>
      <c r="AJ19" s="264"/>
      <c r="AK19" s="265"/>
      <c r="AL19" s="264"/>
      <c r="AM19" s="265"/>
      <c r="AN19" s="264"/>
      <c r="AO19" s="265"/>
      <c r="AP19" s="264"/>
      <c r="AQ19" s="265"/>
      <c r="AR19" s="264"/>
      <c r="AS19" s="265"/>
      <c r="AT19" s="265"/>
      <c r="AU19" s="264"/>
      <c r="AV19" s="265"/>
      <c r="AW19" s="264"/>
      <c r="AX19" s="265"/>
      <c r="AY19" s="264"/>
      <c r="AZ19" s="265"/>
      <c r="BA19" s="264"/>
      <c r="BB19" s="265"/>
      <c r="BC19" s="264"/>
      <c r="BD19" s="265"/>
      <c r="BE19" s="264"/>
      <c r="BF19" s="265"/>
      <c r="BG19" s="264"/>
      <c r="BH19" s="265"/>
      <c r="BI19" s="264"/>
      <c r="BJ19" s="277"/>
      <c r="BK19" s="269"/>
      <c r="BL19" s="269"/>
      <c r="BM19" s="270"/>
    </row>
    <row r="20" spans="1:65" s="282" customFormat="1" ht="18.75" thickBot="1" x14ac:dyDescent="0.3">
      <c r="A20" s="246"/>
      <c r="B20" s="262"/>
      <c r="C20" s="278"/>
      <c r="D20" s="264"/>
      <c r="E20" s="265"/>
      <c r="F20" s="264"/>
      <c r="G20" s="265"/>
      <c r="H20" s="264"/>
      <c r="I20" s="265"/>
      <c r="J20" s="264"/>
      <c r="K20" s="265"/>
      <c r="L20" s="281"/>
      <c r="M20" s="265"/>
      <c r="N20" s="264"/>
      <c r="O20" s="265"/>
      <c r="P20" s="264"/>
      <c r="Q20" s="265"/>
      <c r="R20" s="264"/>
      <c r="S20" s="265"/>
      <c r="T20" s="264"/>
      <c r="U20" s="265"/>
      <c r="V20" s="264"/>
      <c r="W20" s="265"/>
      <c r="X20" s="264"/>
      <c r="Y20" s="265"/>
      <c r="Z20" s="265"/>
      <c r="AA20" s="264"/>
      <c r="AB20" s="265"/>
      <c r="AC20" s="264"/>
      <c r="AD20" s="264"/>
      <c r="AE20" s="265"/>
      <c r="AF20" s="264"/>
      <c r="AG20" s="265"/>
      <c r="AH20" s="264"/>
      <c r="AI20" s="265"/>
      <c r="AJ20" s="264"/>
      <c r="AK20" s="265"/>
      <c r="AL20" s="264"/>
      <c r="AM20" s="265"/>
      <c r="AN20" s="264"/>
      <c r="AO20" s="265"/>
      <c r="AP20" s="264"/>
      <c r="AQ20" s="265"/>
      <c r="AR20" s="264"/>
      <c r="AS20" s="265"/>
      <c r="AT20" s="265"/>
      <c r="AU20" s="264"/>
      <c r="AV20" s="265"/>
      <c r="AW20" s="264"/>
      <c r="AX20" s="265"/>
      <c r="AY20" s="264"/>
      <c r="AZ20" s="265"/>
      <c r="BA20" s="264"/>
      <c r="BB20" s="265"/>
      <c r="BC20" s="264"/>
      <c r="BD20" s="265"/>
      <c r="BE20" s="264"/>
      <c r="BF20" s="265"/>
      <c r="BG20" s="264"/>
      <c r="BH20" s="265"/>
      <c r="BI20" s="264"/>
      <c r="BJ20" s="265"/>
      <c r="BK20" s="269"/>
      <c r="BL20" s="269"/>
      <c r="BM20" s="270"/>
    </row>
    <row r="21" spans="1:65" s="282" customFormat="1" ht="36.75" thickBot="1" x14ac:dyDescent="0.3">
      <c r="A21" s="271" t="s">
        <v>13</v>
      </c>
      <c r="B21" s="279"/>
      <c r="C21" s="275"/>
      <c r="D21" s="274">
        <f>D7+D18</f>
        <v>0</v>
      </c>
      <c r="E21" s="275"/>
      <c r="F21" s="274">
        <f>F7+F18</f>
        <v>0</v>
      </c>
      <c r="G21" s="275"/>
      <c r="H21" s="274">
        <f>H7+H18</f>
        <v>0</v>
      </c>
      <c r="I21" s="275"/>
      <c r="J21" s="274">
        <f>J7+J18</f>
        <v>0</v>
      </c>
      <c r="K21" s="275"/>
      <c r="L21" s="274">
        <f>L7+L18</f>
        <v>0</v>
      </c>
      <c r="M21" s="275"/>
      <c r="N21" s="274">
        <f>N7+N18</f>
        <v>0</v>
      </c>
      <c r="O21" s="275"/>
      <c r="P21" s="274">
        <f>P7+P18</f>
        <v>0</v>
      </c>
      <c r="Q21" s="275"/>
      <c r="R21" s="274">
        <f>R7+R18</f>
        <v>0</v>
      </c>
      <c r="S21" s="275"/>
      <c r="T21" s="274">
        <f>T7+T18</f>
        <v>0</v>
      </c>
      <c r="U21" s="275"/>
      <c r="V21" s="274">
        <f>V7+V18</f>
        <v>0</v>
      </c>
      <c r="W21" s="275"/>
      <c r="X21" s="274">
        <f>X7+X18</f>
        <v>0</v>
      </c>
      <c r="Y21" s="275"/>
      <c r="Z21" s="275"/>
      <c r="AA21" s="274">
        <f>AA7+AA18</f>
        <v>0</v>
      </c>
      <c r="AB21" s="275"/>
      <c r="AC21" s="274">
        <f>AC7+AC18</f>
        <v>0</v>
      </c>
      <c r="AD21" s="274">
        <f>AD7+AD18</f>
        <v>0</v>
      </c>
      <c r="AE21" s="275"/>
      <c r="AF21" s="274">
        <f>AF7+AF18</f>
        <v>0</v>
      </c>
      <c r="AG21" s="275"/>
      <c r="AH21" s="274">
        <f>AH7+AH18</f>
        <v>0</v>
      </c>
      <c r="AI21" s="275"/>
      <c r="AJ21" s="274">
        <f>AJ7+AJ18</f>
        <v>0</v>
      </c>
      <c r="AK21" s="275"/>
      <c r="AL21" s="274">
        <f>AL7+AL18</f>
        <v>0</v>
      </c>
      <c r="AM21" s="275"/>
      <c r="AN21" s="274">
        <f>AN7+AN18</f>
        <v>0</v>
      </c>
      <c r="AO21" s="275"/>
      <c r="AP21" s="274">
        <f>AP7+AP18</f>
        <v>0</v>
      </c>
      <c r="AQ21" s="275"/>
      <c r="AR21" s="274">
        <f>AR7+AR18</f>
        <v>0</v>
      </c>
      <c r="AS21" s="275"/>
      <c r="AT21" s="275"/>
      <c r="AU21" s="274">
        <f>AU7+AU18</f>
        <v>0</v>
      </c>
      <c r="AV21" s="275"/>
      <c r="AW21" s="274">
        <f>AW7+AW18</f>
        <v>0</v>
      </c>
      <c r="AX21" s="275"/>
      <c r="AY21" s="274">
        <f>AY7+AY18</f>
        <v>0</v>
      </c>
      <c r="AZ21" s="275"/>
      <c r="BA21" s="274">
        <f>BA7+BA18</f>
        <v>0</v>
      </c>
      <c r="BB21" s="275"/>
      <c r="BC21" s="274">
        <f>BC7+BC18</f>
        <v>0</v>
      </c>
      <c r="BD21" s="275"/>
      <c r="BE21" s="274">
        <f>BE7+BE18</f>
        <v>0</v>
      </c>
      <c r="BF21" s="275"/>
      <c r="BG21" s="274">
        <f>BG7+BG18</f>
        <v>0</v>
      </c>
      <c r="BH21" s="275"/>
      <c r="BI21" s="274">
        <f>D21+F21+H21+J21+X21+N21+P21+R21+L21+T21+V21+AA21+AC21+AD21+AF21+AH21+AJ21+AL21+AN21+AP21+AR21+AU21+AW21+AY21+BA21+BC21+BE21+BG21</f>
        <v>0</v>
      </c>
      <c r="BJ21" s="275"/>
      <c r="BK21" s="276"/>
      <c r="BL21" s="276"/>
      <c r="BM21" s="270"/>
    </row>
    <row r="22" spans="1:65" s="282" customFormat="1" ht="18" x14ac:dyDescent="0.25">
      <c r="A22" s="246" t="s">
        <v>14</v>
      </c>
      <c r="B22" s="262"/>
      <c r="C22" s="268"/>
      <c r="D22" s="264"/>
      <c r="E22" s="265"/>
      <c r="F22" s="264"/>
      <c r="G22" s="265"/>
      <c r="H22" s="264"/>
      <c r="I22" s="265"/>
      <c r="J22" s="264"/>
      <c r="K22" s="265"/>
      <c r="L22" s="281"/>
      <c r="M22" s="265"/>
      <c r="N22" s="264"/>
      <c r="O22" s="265"/>
      <c r="P22" s="264"/>
      <c r="Q22" s="265"/>
      <c r="R22" s="264"/>
      <c r="S22" s="265"/>
      <c r="T22" s="264"/>
      <c r="U22" s="265"/>
      <c r="V22" s="264"/>
      <c r="W22" s="265"/>
      <c r="X22" s="264"/>
      <c r="Y22" s="265"/>
      <c r="Z22" s="265"/>
      <c r="AA22" s="264"/>
      <c r="AB22" s="265"/>
      <c r="AC22" s="264"/>
      <c r="AD22" s="264"/>
      <c r="AE22" s="265"/>
      <c r="AF22" s="264"/>
      <c r="AG22" s="265"/>
      <c r="AH22" s="264"/>
      <c r="AI22" s="265"/>
      <c r="AJ22" s="264"/>
      <c r="AK22" s="265"/>
      <c r="AL22" s="264"/>
      <c r="AM22" s="265"/>
      <c r="AN22" s="264"/>
      <c r="AO22" s="265"/>
      <c r="AP22" s="264"/>
      <c r="AQ22" s="265"/>
      <c r="AR22" s="264"/>
      <c r="AS22" s="265"/>
      <c r="AT22" s="265"/>
      <c r="AU22" s="264"/>
      <c r="AV22" s="265"/>
      <c r="AW22" s="264"/>
      <c r="AX22" s="265"/>
      <c r="AY22" s="264"/>
      <c r="AZ22" s="265"/>
      <c r="BA22" s="264"/>
      <c r="BB22" s="265"/>
      <c r="BC22" s="264"/>
      <c r="BD22" s="265"/>
      <c r="BE22" s="264"/>
      <c r="BF22" s="265"/>
      <c r="BG22" s="264"/>
      <c r="BH22" s="265"/>
      <c r="BI22" s="270"/>
      <c r="BJ22" s="268"/>
      <c r="BK22" s="269"/>
      <c r="BL22" s="269"/>
      <c r="BM22" s="270"/>
    </row>
    <row r="23" spans="1:65" s="282" customFormat="1" ht="36" x14ac:dyDescent="0.25">
      <c r="A23" s="246" t="s">
        <v>15</v>
      </c>
      <c r="B23" s="262" t="s">
        <v>16</v>
      </c>
      <c r="C23" s="263"/>
      <c r="D23" s="699">
        <f>-GenFundREV!I108</f>
        <v>0</v>
      </c>
      <c r="E23" s="265"/>
      <c r="F23" s="264">
        <f>-CharterFundRev!I106</f>
        <v>0</v>
      </c>
      <c r="G23" s="265"/>
      <c r="H23" s="264">
        <f>InsResv!I13</f>
        <v>0</v>
      </c>
      <c r="I23" s="265"/>
      <c r="J23" s="264">
        <f>'CPP Fund'!I14</f>
        <v>0</v>
      </c>
      <c r="K23" s="265"/>
      <c r="L23" s="281"/>
      <c r="M23" s="265"/>
      <c r="N23" s="264">
        <f>CapRes!I22</f>
        <v>0</v>
      </c>
      <c r="O23" s="265"/>
      <c r="P23" s="264"/>
      <c r="Q23" s="265"/>
      <c r="R23" s="264"/>
      <c r="S23" s="265"/>
      <c r="T23" s="264"/>
      <c r="U23" s="265"/>
      <c r="V23" s="264"/>
      <c r="W23" s="265"/>
      <c r="X23" s="264"/>
      <c r="Y23" s="265"/>
      <c r="Z23" s="265"/>
      <c r="AA23" s="264">
        <v>0</v>
      </c>
      <c r="AB23" s="265"/>
      <c r="AC23" s="264"/>
      <c r="AD23" s="264"/>
      <c r="AE23" s="265"/>
      <c r="AF23" s="264"/>
      <c r="AG23" s="265"/>
      <c r="AH23" s="264"/>
      <c r="AI23" s="265"/>
      <c r="AJ23" s="264">
        <f>CapResCapPrj!I22</f>
        <v>0</v>
      </c>
      <c r="AK23" s="265"/>
      <c r="AL23" s="264"/>
      <c r="AM23" s="265"/>
      <c r="AN23" s="264"/>
      <c r="AO23" s="265"/>
      <c r="AP23" s="264"/>
      <c r="AQ23" s="265"/>
      <c r="AR23" s="264">
        <v>0</v>
      </c>
      <c r="AS23" s="265"/>
      <c r="AT23" s="265"/>
      <c r="AU23" s="264"/>
      <c r="AV23" s="265"/>
      <c r="AW23" s="264"/>
      <c r="AX23" s="265"/>
      <c r="AY23" s="264">
        <v>0</v>
      </c>
      <c r="AZ23" s="265"/>
      <c r="BA23" s="264">
        <v>0</v>
      </c>
      <c r="BB23" s="265"/>
      <c r="BC23" s="264"/>
      <c r="BD23" s="265"/>
      <c r="BE23" s="264"/>
      <c r="BF23" s="265"/>
      <c r="BG23" s="656">
        <f>Arbitrage!G19</f>
        <v>0</v>
      </c>
      <c r="BH23" s="265"/>
      <c r="BI23" s="264">
        <f t="shared" ref="BI23:BI29" si="1">D23+F23+H23+J23+X23+N23+P23+R23+L23+T23+V23+AA23+AC23+AD23+AF23+AH23+AJ23+AL23+AN23+AP23+AR23+AU23+AW23+AY23+BA23+BC23+BE23+BG23</f>
        <v>0</v>
      </c>
      <c r="BJ23" s="266"/>
      <c r="BK23" s="269"/>
      <c r="BL23" s="269"/>
      <c r="BM23" s="270"/>
    </row>
    <row r="24" spans="1:65" s="282" customFormat="1" ht="18" x14ac:dyDescent="0.25">
      <c r="A24" s="246"/>
      <c r="B24" s="262"/>
      <c r="C24" s="263"/>
      <c r="D24" s="281"/>
      <c r="E24" s="265"/>
      <c r="F24" s="264"/>
      <c r="G24" s="265"/>
      <c r="H24" s="264"/>
      <c r="I24" s="265"/>
      <c r="J24" s="264"/>
      <c r="K24" s="265"/>
      <c r="L24" s="281"/>
      <c r="M24" s="265"/>
      <c r="N24" s="264"/>
      <c r="O24" s="265"/>
      <c r="P24" s="264"/>
      <c r="Q24" s="265"/>
      <c r="R24" s="264"/>
      <c r="S24" s="265"/>
      <c r="T24" s="264"/>
      <c r="U24" s="265"/>
      <c r="V24" s="264"/>
      <c r="W24" s="265"/>
      <c r="X24" s="264"/>
      <c r="Y24" s="265"/>
      <c r="Z24" s="265"/>
      <c r="AA24" s="264"/>
      <c r="AB24" s="265"/>
      <c r="AC24" s="264"/>
      <c r="AD24" s="264"/>
      <c r="AE24" s="265"/>
      <c r="AF24" s="264"/>
      <c r="AG24" s="265"/>
      <c r="AH24" s="264"/>
      <c r="AI24" s="265"/>
      <c r="AJ24" s="264"/>
      <c r="AK24" s="265"/>
      <c r="AL24" s="264"/>
      <c r="AM24" s="265"/>
      <c r="AN24" s="264"/>
      <c r="AO24" s="265"/>
      <c r="AP24" s="264"/>
      <c r="AQ24" s="265"/>
      <c r="AR24" s="264"/>
      <c r="AS24" s="265"/>
      <c r="AT24" s="265"/>
      <c r="AU24" s="264"/>
      <c r="AV24" s="265"/>
      <c r="AW24" s="264"/>
      <c r="AX24" s="265"/>
      <c r="AY24" s="264"/>
      <c r="AZ24" s="265"/>
      <c r="BA24" s="264"/>
      <c r="BB24" s="265"/>
      <c r="BC24" s="264"/>
      <c r="BD24" s="265"/>
      <c r="BE24" s="264"/>
      <c r="BF24" s="265"/>
      <c r="BG24" s="264"/>
      <c r="BH24" s="265"/>
      <c r="BI24" s="264">
        <f t="shared" si="1"/>
        <v>0</v>
      </c>
      <c r="BJ24" s="268"/>
      <c r="BK24" s="269"/>
      <c r="BL24" s="269"/>
      <c r="BM24" s="270"/>
    </row>
    <row r="25" spans="1:65" s="282" customFormat="1" ht="36" x14ac:dyDescent="0.25">
      <c r="A25" s="246" t="s">
        <v>17</v>
      </c>
      <c r="B25" s="280" t="s">
        <v>18</v>
      </c>
      <c r="C25" s="263"/>
      <c r="D25" s="281">
        <f>GenFundREV!I94</f>
        <v>0</v>
      </c>
      <c r="E25" s="265"/>
      <c r="F25" s="264">
        <f>CharterFundRev!I92</f>
        <v>0</v>
      </c>
      <c r="G25" s="265"/>
      <c r="H25" s="264">
        <f>InsResv!I12</f>
        <v>0</v>
      </c>
      <c r="I25" s="265"/>
      <c r="J25" s="264">
        <f>'CPP Fund'!I13</f>
        <v>0</v>
      </c>
      <c r="K25" s="265"/>
      <c r="L25" s="281">
        <f>+ARRAGrants!J71</f>
        <v>0</v>
      </c>
      <c r="M25" s="265"/>
      <c r="N25" s="264">
        <f>SUM(CapRes!I19)</f>
        <v>0</v>
      </c>
      <c r="O25" s="265"/>
      <c r="P25" s="264">
        <f>SUM(GovGrants!J71)</f>
        <v>0</v>
      </c>
      <c r="Q25" s="265"/>
      <c r="R25" s="264">
        <f>PupActiv!I14</f>
        <v>0</v>
      </c>
      <c r="S25" s="265"/>
      <c r="T25" s="264">
        <f>FullDayKOverride!I17</f>
        <v>0</v>
      </c>
      <c r="U25" s="265"/>
      <c r="V25" s="264">
        <f>Transp!I17</f>
        <v>0</v>
      </c>
      <c r="W25" s="265"/>
      <c r="X25" s="264">
        <f>OthSpecRev!I13</f>
        <v>0</v>
      </c>
      <c r="Y25" s="265"/>
      <c r="Z25" s="265"/>
      <c r="AA25" s="264">
        <v>0</v>
      </c>
      <c r="AB25" s="265"/>
      <c r="AC25" s="264">
        <f>BondRedm!I19</f>
        <v>0</v>
      </c>
      <c r="AD25" s="264">
        <f>NonVoterDebt!I19</f>
        <v>0</v>
      </c>
      <c r="AE25" s="265"/>
      <c r="AF25" s="264">
        <f>BuildFund!I15</f>
        <v>0</v>
      </c>
      <c r="AG25" s="265"/>
      <c r="AH25" s="264">
        <f>SpecBuild!I12</f>
        <v>0</v>
      </c>
      <c r="AI25" s="265"/>
      <c r="AJ25" s="264">
        <f>CapResCapPrj!I19</f>
        <v>0</v>
      </c>
      <c r="AK25" s="265"/>
      <c r="AL25" s="264">
        <f>OtherEnterprise!I14</f>
        <v>0</v>
      </c>
      <c r="AM25" s="265"/>
      <c r="AN25" s="264">
        <f>FoodServ!I19</f>
        <v>0</v>
      </c>
      <c r="AO25" s="265"/>
      <c r="AP25" s="264">
        <f>OtherInternal!I16</f>
        <v>0</v>
      </c>
      <c r="AQ25" s="265"/>
      <c r="AR25" s="264">
        <v>0</v>
      </c>
      <c r="AS25" s="265"/>
      <c r="AT25" s="265"/>
      <c r="AU25" s="264">
        <f>RiskRelated!I12</f>
        <v>0</v>
      </c>
      <c r="AV25" s="265"/>
      <c r="AW25" s="264">
        <f>'Trust&amp;Agency'!I10</f>
        <v>0</v>
      </c>
      <c r="AX25" s="265"/>
      <c r="AY25" s="264">
        <v>0</v>
      </c>
      <c r="AZ25" s="265"/>
      <c r="BA25" s="264">
        <v>0</v>
      </c>
      <c r="BB25" s="265"/>
      <c r="BC25" s="264">
        <f>PupilActAgency!I11</f>
        <v>0</v>
      </c>
      <c r="BD25" s="265"/>
      <c r="BE25" s="264">
        <f>'Foundation Fund'!I10</f>
        <v>0</v>
      </c>
      <c r="BF25" s="265"/>
      <c r="BG25" s="656">
        <f>Arbitrage!G20</f>
        <v>0</v>
      </c>
      <c r="BH25" s="265"/>
      <c r="BI25" s="264">
        <f t="shared" si="1"/>
        <v>0</v>
      </c>
      <c r="BJ25" s="266"/>
      <c r="BK25" s="269"/>
      <c r="BL25" s="269"/>
      <c r="BM25" s="270"/>
    </row>
    <row r="26" spans="1:65" s="282" customFormat="1" ht="18" x14ac:dyDescent="0.25">
      <c r="A26" s="246"/>
      <c r="B26" s="262"/>
      <c r="C26" s="263"/>
      <c r="D26" s="281"/>
      <c r="E26" s="265"/>
      <c r="F26" s="264"/>
      <c r="G26" s="265"/>
      <c r="H26" s="264"/>
      <c r="I26" s="265"/>
      <c r="J26" s="264"/>
      <c r="K26" s="265"/>
      <c r="L26" s="281"/>
      <c r="M26" s="265"/>
      <c r="N26" s="264"/>
      <c r="O26" s="265"/>
      <c r="P26" s="264"/>
      <c r="Q26" s="265"/>
      <c r="R26" s="264"/>
      <c r="S26" s="265"/>
      <c r="T26" s="264"/>
      <c r="U26" s="265"/>
      <c r="V26" s="264"/>
      <c r="W26" s="265"/>
      <c r="X26" s="264"/>
      <c r="Y26" s="265"/>
      <c r="Z26" s="265"/>
      <c r="AA26" s="264"/>
      <c r="AB26" s="265"/>
      <c r="AC26" s="264"/>
      <c r="AD26" s="264"/>
      <c r="AE26" s="265"/>
      <c r="AF26" s="264"/>
      <c r="AG26" s="265"/>
      <c r="AH26" s="264"/>
      <c r="AI26" s="265"/>
      <c r="AJ26" s="264"/>
      <c r="AK26" s="265"/>
      <c r="AL26" s="264"/>
      <c r="AM26" s="265"/>
      <c r="AN26" s="264"/>
      <c r="AO26" s="265"/>
      <c r="AP26" s="264"/>
      <c r="AQ26" s="265"/>
      <c r="AR26" s="264"/>
      <c r="AS26" s="265"/>
      <c r="AT26" s="265"/>
      <c r="AU26" s="264"/>
      <c r="AV26" s="265"/>
      <c r="AW26" s="264"/>
      <c r="AX26" s="265"/>
      <c r="AY26" s="264"/>
      <c r="AZ26" s="265"/>
      <c r="BA26" s="264"/>
      <c r="BB26" s="265"/>
      <c r="BC26" s="264"/>
      <c r="BD26" s="265"/>
      <c r="BE26" s="264"/>
      <c r="BF26" s="265"/>
      <c r="BG26" s="264"/>
      <c r="BH26" s="265"/>
      <c r="BI26" s="264">
        <f t="shared" si="1"/>
        <v>0</v>
      </c>
      <c r="BJ26" s="265"/>
      <c r="BK26" s="269"/>
      <c r="BL26" s="269"/>
      <c r="BM26" s="270"/>
    </row>
    <row r="27" spans="1:65" s="282" customFormat="1" ht="54" x14ac:dyDescent="0.25">
      <c r="A27" s="246" t="s">
        <v>19</v>
      </c>
      <c r="B27" s="262" t="s">
        <v>20</v>
      </c>
      <c r="C27" s="263"/>
      <c r="D27" s="281">
        <f>SUM(GenFundREV!I95+GenFundREV!I96+GenFundREV!I97)</f>
        <v>0</v>
      </c>
      <c r="E27" s="265"/>
      <c r="F27" s="281">
        <f>SUM(CharterFundRev!I93+CharterFundRev!I94+CharterFundRev!I95)</f>
        <v>0</v>
      </c>
      <c r="G27" s="265"/>
      <c r="H27" s="264">
        <f>InsResv!I14</f>
        <v>0</v>
      </c>
      <c r="I27" s="265"/>
      <c r="J27" s="264">
        <f>'CPP Fund'!I15</f>
        <v>0</v>
      </c>
      <c r="K27" s="265"/>
      <c r="L27" s="281">
        <f>SUM(ARRAGrants!J75:J84)</f>
        <v>0</v>
      </c>
      <c r="M27" s="265"/>
      <c r="N27" s="264">
        <f>SUM(CapRes!I20+CapRes!I21+CapRes!I23)</f>
        <v>0</v>
      </c>
      <c r="O27" s="265"/>
      <c r="P27" s="264">
        <f>SUM(GovGrants!J75:J84)</f>
        <v>0</v>
      </c>
      <c r="Q27" s="265"/>
      <c r="R27" s="264">
        <f>PupActiv!I15</f>
        <v>0</v>
      </c>
      <c r="S27" s="265"/>
      <c r="T27" s="264">
        <f>FullDayKOverride!I18</f>
        <v>0</v>
      </c>
      <c r="U27" s="265"/>
      <c r="V27" s="264">
        <f>Transp!I18</f>
        <v>0</v>
      </c>
      <c r="W27" s="265"/>
      <c r="X27" s="264">
        <f>OthSpecRev!I14</f>
        <v>0</v>
      </c>
      <c r="Y27" s="265"/>
      <c r="Z27" s="265"/>
      <c r="AA27" s="264">
        <v>0</v>
      </c>
      <c r="AB27" s="265"/>
      <c r="AC27" s="264">
        <f>SUM(BondRedm!I16+BondRedm!I17+BondRedm!I18+BondRedm!I20)</f>
        <v>0</v>
      </c>
      <c r="AD27" s="264">
        <f>SUM(NonVoterDebt!I16+NonVoterDebt!I17+NonVoterDebt!I18+NonVoterDebt!I20)</f>
        <v>0</v>
      </c>
      <c r="AE27" s="265"/>
      <c r="AF27" s="264">
        <f>SUM(BuildFund!I12+BuildFund!I13+BuildFund!I14+BuildFund!I16)</f>
        <v>0</v>
      </c>
      <c r="AG27" s="265"/>
      <c r="AH27" s="264">
        <f>SpecBuild!I13</f>
        <v>0</v>
      </c>
      <c r="AI27" s="265"/>
      <c r="AJ27" s="264">
        <f>SUM(CapResCapPrj!I20+CapResCapPrj!I21+CapResCapPrj!I23)</f>
        <v>0</v>
      </c>
      <c r="AK27" s="265"/>
      <c r="AL27" s="264">
        <f>OtherEnterprise!I15</f>
        <v>0</v>
      </c>
      <c r="AM27" s="265"/>
      <c r="AN27" s="264">
        <f>FoodServ!I20</f>
        <v>0</v>
      </c>
      <c r="AO27" s="265"/>
      <c r="AP27" s="264">
        <f>OtherInternal!I17</f>
        <v>0</v>
      </c>
      <c r="AQ27" s="265"/>
      <c r="AR27" s="264">
        <v>0</v>
      </c>
      <c r="AS27" s="265"/>
      <c r="AT27" s="265"/>
      <c r="AU27" s="264">
        <f>SUM(RiskRelated!I13)</f>
        <v>0</v>
      </c>
      <c r="AV27" s="265"/>
      <c r="AW27" s="264">
        <f>'Trust&amp;Agency'!I11</f>
        <v>0</v>
      </c>
      <c r="AX27" s="265"/>
      <c r="AY27" s="264">
        <v>0</v>
      </c>
      <c r="AZ27" s="265"/>
      <c r="BA27" s="264">
        <v>0</v>
      </c>
      <c r="BB27" s="265"/>
      <c r="BC27" s="264">
        <f>PupilActAgency!I12</f>
        <v>0</v>
      </c>
      <c r="BD27" s="265"/>
      <c r="BE27" s="264">
        <f>'Foundation Fund'!I11</f>
        <v>0</v>
      </c>
      <c r="BF27" s="265"/>
      <c r="BG27" s="656">
        <f>Arbitrage!G18</f>
        <v>0</v>
      </c>
      <c r="BH27" s="265"/>
      <c r="BI27" s="264">
        <f t="shared" si="1"/>
        <v>0</v>
      </c>
      <c r="BJ27" s="265"/>
      <c r="BK27" s="269"/>
      <c r="BL27" s="269"/>
      <c r="BM27" s="270"/>
    </row>
    <row r="28" spans="1:65" s="282" customFormat="1" ht="18.75" thickBot="1" x14ac:dyDescent="0.3">
      <c r="A28" s="246"/>
      <c r="B28" s="262"/>
      <c r="C28" s="263"/>
      <c r="D28" s="264"/>
      <c r="E28" s="265"/>
      <c r="F28" s="264"/>
      <c r="G28" s="265"/>
      <c r="H28" s="264"/>
      <c r="I28" s="265"/>
      <c r="J28" s="264"/>
      <c r="K28" s="265"/>
      <c r="L28" s="281"/>
      <c r="M28" s="265"/>
      <c r="N28" s="264"/>
      <c r="O28" s="265"/>
      <c r="P28" s="264"/>
      <c r="Q28" s="265"/>
      <c r="R28" s="264"/>
      <c r="S28" s="265"/>
      <c r="T28" s="264"/>
      <c r="U28" s="265"/>
      <c r="V28" s="264"/>
      <c r="W28" s="265"/>
      <c r="X28" s="264"/>
      <c r="Y28" s="265"/>
      <c r="Z28" s="265"/>
      <c r="AA28" s="264"/>
      <c r="AB28" s="265"/>
      <c r="AC28" s="264"/>
      <c r="AD28" s="264"/>
      <c r="AE28" s="265"/>
      <c r="AF28" s="264"/>
      <c r="AG28" s="265"/>
      <c r="AH28" s="264"/>
      <c r="AI28" s="265"/>
      <c r="AJ28" s="264"/>
      <c r="AK28" s="265"/>
      <c r="AL28" s="264"/>
      <c r="AM28" s="265"/>
      <c r="AN28" s="264"/>
      <c r="AO28" s="265"/>
      <c r="AP28" s="264"/>
      <c r="AQ28" s="265"/>
      <c r="AR28" s="264"/>
      <c r="AS28" s="265"/>
      <c r="AT28" s="265"/>
      <c r="AU28" s="264"/>
      <c r="AV28" s="265"/>
      <c r="AW28" s="264"/>
      <c r="AX28" s="265"/>
      <c r="AY28" s="264"/>
      <c r="AZ28" s="265"/>
      <c r="BA28" s="264"/>
      <c r="BB28" s="265"/>
      <c r="BC28" s="264"/>
      <c r="BD28" s="265"/>
      <c r="BE28" s="264"/>
      <c r="BF28" s="265"/>
      <c r="BG28" s="264"/>
      <c r="BH28" s="265"/>
      <c r="BI28" s="264">
        <f t="shared" si="1"/>
        <v>0</v>
      </c>
      <c r="BJ28" s="268"/>
      <c r="BK28" s="269"/>
      <c r="BL28" s="269"/>
      <c r="BM28" s="270"/>
    </row>
    <row r="29" spans="1:65" s="282" customFormat="1" ht="72.75" thickBot="1" x14ac:dyDescent="0.3">
      <c r="A29" s="271" t="s">
        <v>54</v>
      </c>
      <c r="B29" s="279"/>
      <c r="C29" s="275"/>
      <c r="D29" s="274">
        <f>D21+D23+D25+D27</f>
        <v>0</v>
      </c>
      <c r="E29" s="275"/>
      <c r="F29" s="274">
        <f>F21+F23+F25+F27</f>
        <v>0</v>
      </c>
      <c r="G29" s="275"/>
      <c r="H29" s="274">
        <f>H21+H23+H25+H27</f>
        <v>0</v>
      </c>
      <c r="I29" s="275"/>
      <c r="J29" s="274">
        <f>J21+J23+J25+J27</f>
        <v>0</v>
      </c>
      <c r="K29" s="275"/>
      <c r="L29" s="274">
        <f>L21+L23+L25+L27</f>
        <v>0</v>
      </c>
      <c r="M29" s="275"/>
      <c r="N29" s="274">
        <f>N21+N23+N25+N27</f>
        <v>0</v>
      </c>
      <c r="O29" s="275"/>
      <c r="P29" s="274">
        <f>P21+P23+P25+P27</f>
        <v>0</v>
      </c>
      <c r="Q29" s="275"/>
      <c r="R29" s="274">
        <f>R21+R23+R25+R27</f>
        <v>0</v>
      </c>
      <c r="S29" s="275"/>
      <c r="T29" s="274">
        <f>T21+T23+T25+T27</f>
        <v>0</v>
      </c>
      <c r="U29" s="275"/>
      <c r="V29" s="274">
        <f>V21+V23+V25+V27</f>
        <v>0</v>
      </c>
      <c r="W29" s="275"/>
      <c r="X29" s="274">
        <f>X21+X23+X25+X27</f>
        <v>0</v>
      </c>
      <c r="Y29" s="275"/>
      <c r="Z29" s="275"/>
      <c r="AA29" s="274">
        <f>AA21+AA23+AA25+AA27</f>
        <v>0</v>
      </c>
      <c r="AB29" s="275"/>
      <c r="AC29" s="274">
        <f>AC21+AC23+AC25+AC27</f>
        <v>0</v>
      </c>
      <c r="AD29" s="274">
        <f>AD21+AD23+AD25+AD27</f>
        <v>0</v>
      </c>
      <c r="AE29" s="275"/>
      <c r="AF29" s="274">
        <f>AF21+AF23+AF25+AF27</f>
        <v>0</v>
      </c>
      <c r="AG29" s="275"/>
      <c r="AH29" s="274">
        <f>AH21+AH23+AH25+AH27</f>
        <v>0</v>
      </c>
      <c r="AI29" s="275"/>
      <c r="AJ29" s="274">
        <f>AJ21+AJ23+AJ25+AJ27</f>
        <v>0</v>
      </c>
      <c r="AK29" s="275"/>
      <c r="AL29" s="274">
        <f>AL21+AL23+AL25+AL27</f>
        <v>0</v>
      </c>
      <c r="AM29" s="275"/>
      <c r="AN29" s="274">
        <f>AN21+AN23+AN25+AN27</f>
        <v>0</v>
      </c>
      <c r="AO29" s="275"/>
      <c r="AP29" s="274">
        <f>AP21+AP23+AP25+AP27</f>
        <v>0</v>
      </c>
      <c r="AQ29" s="275"/>
      <c r="AR29" s="274">
        <f>AR21+AR23+AR25+AR27</f>
        <v>0</v>
      </c>
      <c r="AS29" s="275"/>
      <c r="AT29" s="275"/>
      <c r="AU29" s="274">
        <f>AU21+AU23+AU25+AU27</f>
        <v>0</v>
      </c>
      <c r="AV29" s="275"/>
      <c r="AW29" s="274">
        <f>AW21+AW23+AW25+AW27</f>
        <v>0</v>
      </c>
      <c r="AX29" s="275"/>
      <c r="AY29" s="274">
        <f>AY21+AY23+AY25+AY27</f>
        <v>0</v>
      </c>
      <c r="AZ29" s="275"/>
      <c r="BA29" s="274">
        <f>BA21+BA23+BA25+BA27</f>
        <v>0</v>
      </c>
      <c r="BB29" s="275"/>
      <c r="BC29" s="274">
        <f>BC21+BC23+BC25+BC27</f>
        <v>0</v>
      </c>
      <c r="BD29" s="275"/>
      <c r="BE29" s="274">
        <f>BE21+BE23+BE25+BE27</f>
        <v>0</v>
      </c>
      <c r="BF29" s="275"/>
      <c r="BG29" s="274">
        <f>BG21+BG23+BG25+BG27</f>
        <v>0</v>
      </c>
      <c r="BH29" s="275"/>
      <c r="BI29" s="274">
        <f t="shared" si="1"/>
        <v>0</v>
      </c>
      <c r="BJ29" s="275"/>
      <c r="BK29" s="276"/>
      <c r="BL29" s="276"/>
      <c r="BM29" s="270"/>
    </row>
    <row r="30" spans="1:65" s="282" customFormat="1" ht="18" x14ac:dyDescent="0.25">
      <c r="A30" s="258"/>
      <c r="B30" s="259"/>
      <c r="C30" s="268"/>
      <c r="D30" s="281"/>
      <c r="E30" s="265"/>
      <c r="F30" s="281"/>
      <c r="G30" s="265"/>
      <c r="H30" s="281"/>
      <c r="I30" s="265"/>
      <c r="J30" s="281"/>
      <c r="K30" s="265"/>
      <c r="L30" s="281"/>
      <c r="M30" s="265"/>
      <c r="N30" s="281"/>
      <c r="O30" s="265"/>
      <c r="P30" s="281"/>
      <c r="Q30" s="265"/>
      <c r="R30" s="281"/>
      <c r="S30" s="265"/>
      <c r="T30" s="281"/>
      <c r="U30" s="265"/>
      <c r="V30" s="281"/>
      <c r="W30" s="265"/>
      <c r="X30" s="281"/>
      <c r="Y30" s="265"/>
      <c r="Z30" s="265"/>
      <c r="AA30" s="281"/>
      <c r="AB30" s="265"/>
      <c r="AC30" s="281"/>
      <c r="AD30" s="281"/>
      <c r="AE30" s="265"/>
      <c r="AF30" s="281"/>
      <c r="AG30" s="265"/>
      <c r="AH30" s="281"/>
      <c r="AI30" s="265"/>
      <c r="AJ30" s="281"/>
      <c r="AK30" s="265"/>
      <c r="AL30" s="281"/>
      <c r="AM30" s="265"/>
      <c r="AN30" s="281"/>
      <c r="AO30" s="265"/>
      <c r="AP30" s="281"/>
      <c r="AQ30" s="265"/>
      <c r="AR30" s="281"/>
      <c r="AS30" s="265"/>
      <c r="AT30" s="265"/>
      <c r="AU30" s="281"/>
      <c r="AV30" s="265"/>
      <c r="AW30" s="281"/>
      <c r="AX30" s="265"/>
      <c r="AY30" s="281"/>
      <c r="AZ30" s="265"/>
      <c r="BA30" s="281"/>
      <c r="BB30" s="265"/>
      <c r="BC30" s="281"/>
      <c r="BD30" s="265"/>
      <c r="BE30" s="281"/>
      <c r="BF30" s="265"/>
      <c r="BG30" s="281"/>
      <c r="BH30" s="265"/>
      <c r="BJ30" s="268"/>
      <c r="BK30" s="269"/>
      <c r="BL30" s="269"/>
      <c r="BM30" s="270"/>
    </row>
    <row r="31" spans="1:65" s="282" customFormat="1" ht="28.5" customHeight="1" x14ac:dyDescent="0.3">
      <c r="A31" s="267" t="s">
        <v>21</v>
      </c>
      <c r="B31" s="262"/>
      <c r="C31" s="268"/>
      <c r="D31" s="264"/>
      <c r="E31" s="265"/>
      <c r="F31" s="264"/>
      <c r="G31" s="265"/>
      <c r="H31" s="264"/>
      <c r="I31" s="265"/>
      <c r="J31" s="264"/>
      <c r="K31" s="265"/>
      <c r="L31" s="700" t="s">
        <v>1342</v>
      </c>
      <c r="M31" s="265"/>
      <c r="N31" s="264"/>
      <c r="O31" s="265"/>
      <c r="P31" s="701" t="s">
        <v>1342</v>
      </c>
      <c r="Q31" s="265"/>
      <c r="R31" s="264"/>
      <c r="S31" s="265"/>
      <c r="T31" s="264"/>
      <c r="U31" s="265"/>
      <c r="V31" s="264"/>
      <c r="W31" s="265"/>
      <c r="X31" s="264"/>
      <c r="Y31" s="265"/>
      <c r="Z31" s="265"/>
      <c r="AA31" s="264"/>
      <c r="AB31" s="265"/>
      <c r="AC31" s="264"/>
      <c r="AD31" s="264"/>
      <c r="AE31" s="265"/>
      <c r="AF31" s="657"/>
      <c r="AG31" s="265"/>
      <c r="AH31" s="295" t="s">
        <v>798</v>
      </c>
      <c r="AI31" s="265"/>
      <c r="AJ31" s="295" t="s">
        <v>797</v>
      </c>
      <c r="AK31" s="265"/>
      <c r="AL31" s="295" t="s">
        <v>798</v>
      </c>
      <c r="AM31" s="265"/>
      <c r="AN31" s="702"/>
      <c r="AO31" s="265"/>
      <c r="AP31" s="295" t="s">
        <v>798</v>
      </c>
      <c r="AQ31" s="265"/>
      <c r="AR31" s="264"/>
      <c r="AS31" s="265"/>
      <c r="AT31" s="265"/>
      <c r="AU31" s="295" t="s">
        <v>798</v>
      </c>
      <c r="AV31" s="265"/>
      <c r="AW31" s="295" t="s">
        <v>797</v>
      </c>
      <c r="AX31" s="265"/>
      <c r="AY31" s="264"/>
      <c r="AZ31" s="265"/>
      <c r="BA31" s="264"/>
      <c r="BB31" s="265"/>
      <c r="BC31" s="295" t="s">
        <v>797</v>
      </c>
      <c r="BD31" s="265"/>
      <c r="BE31" s="295" t="s">
        <v>797</v>
      </c>
      <c r="BF31" s="265"/>
      <c r="BG31" s="295" t="s">
        <v>1453</v>
      </c>
      <c r="BH31" s="265"/>
      <c r="BI31" s="270"/>
      <c r="BJ31" s="268"/>
      <c r="BK31" s="269"/>
      <c r="BL31" s="269"/>
      <c r="BM31" s="270"/>
    </row>
    <row r="32" spans="1:65" s="282" customFormat="1" ht="21.75" customHeight="1" x14ac:dyDescent="0.25">
      <c r="A32" s="246" t="s">
        <v>22</v>
      </c>
      <c r="B32" s="262"/>
      <c r="C32" s="268"/>
      <c r="D32" s="264"/>
      <c r="E32" s="265"/>
      <c r="F32" s="264"/>
      <c r="G32" s="265"/>
      <c r="H32" s="264"/>
      <c r="I32" s="265"/>
      <c r="J32" s="264"/>
      <c r="K32" s="265"/>
      <c r="L32" s="281"/>
      <c r="M32" s="265"/>
      <c r="N32" s="264"/>
      <c r="O32" s="265"/>
      <c r="P32" s="264"/>
      <c r="Q32" s="265"/>
      <c r="R32" s="264"/>
      <c r="S32" s="265"/>
      <c r="T32" s="299" t="s">
        <v>46</v>
      </c>
      <c r="U32" s="265"/>
      <c r="V32" s="264"/>
      <c r="W32" s="265"/>
      <c r="X32" s="264"/>
      <c r="Y32" s="265"/>
      <c r="Z32" s="265"/>
      <c r="AA32" s="264"/>
      <c r="AB32" s="265"/>
      <c r="AC32" s="264"/>
      <c r="AD32" s="264"/>
      <c r="AE32" s="265"/>
      <c r="AF32" s="264"/>
      <c r="AG32" s="265"/>
      <c r="AH32" s="264"/>
      <c r="AI32" s="265"/>
      <c r="AJ32" s="270"/>
      <c r="AK32" s="265"/>
      <c r="AL32" s="264"/>
      <c r="AM32" s="265"/>
      <c r="AN32" s="270"/>
      <c r="AO32" s="265"/>
      <c r="AP32" s="270"/>
      <c r="AQ32" s="265"/>
      <c r="AR32" s="264"/>
      <c r="AS32" s="265"/>
      <c r="AT32" s="265"/>
      <c r="AU32" s="270"/>
      <c r="AV32" s="265"/>
      <c r="AW32" s="270"/>
      <c r="AX32" s="265"/>
      <c r="AY32" s="264"/>
      <c r="AZ32" s="265"/>
      <c r="BA32" s="264"/>
      <c r="BB32" s="265"/>
      <c r="BC32" s="270"/>
      <c r="BD32" s="265"/>
      <c r="BE32" s="264"/>
      <c r="BF32" s="265"/>
      <c r="BG32" s="264"/>
      <c r="BH32" s="265"/>
      <c r="BI32" s="270"/>
      <c r="BJ32" s="268"/>
      <c r="BK32" s="269"/>
      <c r="BL32" s="269"/>
      <c r="BM32" s="270"/>
    </row>
    <row r="33" spans="1:65" s="282" customFormat="1" ht="21.75" customHeight="1" x14ac:dyDescent="0.25">
      <c r="A33" s="246" t="s">
        <v>23</v>
      </c>
      <c r="B33" s="283" t="s">
        <v>1577</v>
      </c>
      <c r="C33" s="268"/>
      <c r="D33" s="703">
        <f>GenFundExp!B1079</f>
        <v>0</v>
      </c>
      <c r="E33" s="265"/>
      <c r="F33" s="704">
        <f>CharterFundExp!B1079</f>
        <v>0</v>
      </c>
      <c r="G33" s="265"/>
      <c r="H33" s="264"/>
      <c r="I33" s="265"/>
      <c r="J33" s="264">
        <f>'CPP Fund'!I28+'CPP Fund'!I29</f>
        <v>0</v>
      </c>
      <c r="K33" s="265"/>
      <c r="L33" s="281">
        <f>ARRAGrants!J170</f>
        <v>0</v>
      </c>
      <c r="M33" s="265"/>
      <c r="N33" s="264"/>
      <c r="O33" s="265"/>
      <c r="P33" s="264">
        <f>GovGrants!J170</f>
        <v>0</v>
      </c>
      <c r="Q33" s="265"/>
      <c r="R33" s="264">
        <f>SUM(PupActiv!I29:I30)</f>
        <v>0</v>
      </c>
      <c r="S33" s="265"/>
      <c r="T33" s="264">
        <f>FullDayKOverride!I25+FullDayKOverride!I26</f>
        <v>0</v>
      </c>
      <c r="U33" s="265"/>
      <c r="V33" s="264"/>
      <c r="W33" s="265"/>
      <c r="X33" s="264">
        <f>OthSpecRev!I26</f>
        <v>0</v>
      </c>
      <c r="Y33" s="265"/>
      <c r="Z33" s="265"/>
      <c r="AA33" s="264"/>
      <c r="AB33" s="265"/>
      <c r="AC33" s="264"/>
      <c r="AD33" s="264"/>
      <c r="AE33" s="265"/>
      <c r="AF33" s="264"/>
      <c r="AG33" s="265"/>
      <c r="AH33" s="264">
        <f>SpecBuild!I21</f>
        <v>0</v>
      </c>
      <c r="AI33" s="265"/>
      <c r="AJ33" s="264">
        <f>CapResCapPrj!I35</f>
        <v>0</v>
      </c>
      <c r="AK33" s="265"/>
      <c r="AL33" s="264">
        <f>OtherEnterprise!I26</f>
        <v>0</v>
      </c>
      <c r="AM33" s="265"/>
      <c r="AO33" s="265"/>
      <c r="AP33" s="264">
        <f>OtherInternal!I28</f>
        <v>0</v>
      </c>
      <c r="AQ33" s="265"/>
      <c r="AR33" s="264"/>
      <c r="AS33" s="265"/>
      <c r="AT33" s="265"/>
      <c r="AU33" s="264">
        <f>RiskRelated!I24</f>
        <v>0</v>
      </c>
      <c r="AV33" s="265"/>
      <c r="AW33" s="264">
        <f>'Trust&amp;Agency'!I23</f>
        <v>0</v>
      </c>
      <c r="AX33" s="265"/>
      <c r="AY33" s="264"/>
      <c r="AZ33" s="265"/>
      <c r="BA33" s="264"/>
      <c r="BB33" s="265"/>
      <c r="BC33" s="264">
        <f>'Trust&amp;Agency'!I24</f>
        <v>0</v>
      </c>
      <c r="BD33" s="265"/>
      <c r="BE33" s="264">
        <f>'Foundation Fund'!I23</f>
        <v>0</v>
      </c>
      <c r="BF33" s="265"/>
      <c r="BG33" s="656">
        <f>SUM(Arbitrage!G25:G28)</f>
        <v>0</v>
      </c>
      <c r="BH33" s="265"/>
      <c r="BI33" s="264">
        <f t="shared" ref="BI33:BI39" si="2">D33+F33+H33+J33+X33+N33+P33+R33+L33+T33+V33+AA33+AC33+AD33+AF33+AH33+AJ33+AL33+AN33+AP33+AR33+AU33+AW33+AY33+BA33+BC33+BE33+BG33</f>
        <v>0</v>
      </c>
      <c r="BJ33" s="268"/>
      <c r="BK33" s="269"/>
      <c r="BL33" s="269"/>
      <c r="BM33" s="270"/>
    </row>
    <row r="34" spans="1:65" s="282" customFormat="1" ht="21.75" customHeight="1" x14ac:dyDescent="0.25">
      <c r="A34" s="246" t="s">
        <v>24</v>
      </c>
      <c r="B34" s="283" t="s">
        <v>1578</v>
      </c>
      <c r="C34" s="268"/>
      <c r="D34" s="281">
        <f>GenFundExp!B1080</f>
        <v>0</v>
      </c>
      <c r="E34" s="265"/>
      <c r="F34" s="264">
        <f>CharterFundExp!B1080</f>
        <v>0</v>
      </c>
      <c r="G34" s="265"/>
      <c r="H34" s="264"/>
      <c r="I34" s="265"/>
      <c r="J34" s="264">
        <f>'CPP Fund'!I30+'CPP Fund'!I31</f>
        <v>0</v>
      </c>
      <c r="K34" s="265"/>
      <c r="L34" s="281"/>
      <c r="M34" s="265"/>
      <c r="N34" s="264"/>
      <c r="O34" s="265"/>
      <c r="P34" s="264"/>
      <c r="Q34" s="265"/>
      <c r="R34" s="264">
        <f>SUM(PupActiv!I31:I32)</f>
        <v>0</v>
      </c>
      <c r="S34" s="265"/>
      <c r="T34" s="264">
        <f>FullDayKOverride!I27+FullDayKOverride!I28</f>
        <v>0</v>
      </c>
      <c r="U34" s="265"/>
      <c r="V34" s="264"/>
      <c r="W34" s="265"/>
      <c r="X34" s="264">
        <f>OthSpecRev!I27</f>
        <v>0</v>
      </c>
      <c r="Y34" s="265"/>
      <c r="Z34" s="265"/>
      <c r="AA34" s="264"/>
      <c r="AB34" s="265"/>
      <c r="AC34" s="264"/>
      <c r="AD34" s="264"/>
      <c r="AE34" s="265"/>
      <c r="AF34" s="264"/>
      <c r="AG34" s="265"/>
      <c r="AH34" s="264"/>
      <c r="AI34" s="265"/>
      <c r="AJ34" s="264">
        <f>CapResCapPrj!I36</f>
        <v>0</v>
      </c>
      <c r="AK34" s="265"/>
      <c r="AL34" s="264">
        <f>OtherEnterprise!I27</f>
        <v>0</v>
      </c>
      <c r="AM34" s="265"/>
      <c r="AO34" s="265"/>
      <c r="AP34" s="264">
        <f>OtherInternal!I29</f>
        <v>0</v>
      </c>
      <c r="AQ34" s="265"/>
      <c r="AR34" s="264"/>
      <c r="AS34" s="265"/>
      <c r="AT34" s="265"/>
      <c r="AU34" s="264">
        <f>RiskRelated!I25</f>
        <v>0</v>
      </c>
      <c r="AV34" s="265"/>
      <c r="AW34" s="264">
        <f>'Trust&amp;Agency'!I24</f>
        <v>0</v>
      </c>
      <c r="AX34" s="265"/>
      <c r="AY34" s="264"/>
      <c r="AZ34" s="265"/>
      <c r="BA34" s="264"/>
      <c r="BB34" s="265"/>
      <c r="BC34" s="264">
        <f>PupilActAgency!I25</f>
        <v>0</v>
      </c>
      <c r="BD34" s="265"/>
      <c r="BE34" s="264">
        <f>'Foundation Fund'!I24</f>
        <v>0</v>
      </c>
      <c r="BF34" s="265"/>
      <c r="BG34" s="264"/>
      <c r="BH34" s="265"/>
      <c r="BI34" s="264">
        <f t="shared" si="2"/>
        <v>0</v>
      </c>
      <c r="BJ34" s="268"/>
      <c r="BK34" s="269"/>
      <c r="BL34" s="269"/>
      <c r="BM34" s="270"/>
    </row>
    <row r="35" spans="1:65" s="282" customFormat="1" ht="36" x14ac:dyDescent="0.25">
      <c r="A35" s="246" t="s">
        <v>25</v>
      </c>
      <c r="B35" s="283" t="s">
        <v>897</v>
      </c>
      <c r="C35" s="268"/>
      <c r="D35" s="703">
        <f>SUM(GenFundExp!B1081+GenFundExp!B1082+GenFundExp!B1083+GenFundExp!B1084+GenFundExp!B1085+GenFundExp!B1086+GenFundExp!B1087+GenFundExp!B1088+GenFundExp!B1089+GenFundExp!B1090+GenFundExp!B1091+GenFundExp!B1092+GenFundExp!B1093+GenFundExp!B1094+GenFundExp!B1095+GenFundExp!B1096+GenFundExp!B1097+GenFundExp!B1098+GenFundExp!B1099+GenFundExp!B1100)</f>
        <v>0</v>
      </c>
      <c r="E35" s="265"/>
      <c r="F35" s="704">
        <f>SUM(CharterFundExp!B1081+CharterFundExp!B1082+CharterFundExp!B1083+CharterFundExp!B1084+CharterFundExp!B1085+CharterFundExp!B1086+CharterFundExp!B1087+CharterFundExp!B1088+CharterFundExp!B1089+CharterFundExp!B1090+CharterFundExp!B1091+CharterFundExp!B1092+CharterFundExp!B1093+CharterFundExp!B1094+CharterFundExp!B1095+CharterFundExp!B1096+CharterFundExp!B1097+CharterFundExp!B1098+CharterFundExp!B1099+CharterFundExp!B1100)</f>
        <v>0</v>
      </c>
      <c r="G35" s="265"/>
      <c r="H35" s="264"/>
      <c r="I35" s="265"/>
      <c r="J35" s="264">
        <f>SUM('CPP Fund'!I32:I49)</f>
        <v>0</v>
      </c>
      <c r="K35" s="265"/>
      <c r="L35" s="281"/>
      <c r="M35" s="265"/>
      <c r="N35" s="264"/>
      <c r="O35" s="265"/>
      <c r="P35" s="264"/>
      <c r="Q35" s="265"/>
      <c r="R35" s="264">
        <f>SUM(PupActiv!I33:I35)</f>
        <v>0</v>
      </c>
      <c r="S35" s="265"/>
      <c r="T35" s="264">
        <f>SUM(FullDayKOverride!I29:I31)</f>
        <v>0</v>
      </c>
      <c r="U35" s="265"/>
      <c r="V35" s="264"/>
      <c r="W35" s="265"/>
      <c r="X35" s="264">
        <f>SUM(OthSpecRev!I28:I30)</f>
        <v>0</v>
      </c>
      <c r="Y35" s="265"/>
      <c r="Z35" s="265"/>
      <c r="AA35" s="264"/>
      <c r="AB35" s="265"/>
      <c r="AC35" s="264"/>
      <c r="AD35" s="264"/>
      <c r="AE35" s="265"/>
      <c r="AF35" s="264"/>
      <c r="AG35" s="265"/>
      <c r="AH35" s="264">
        <f>SpecBuild!I22</f>
        <v>0</v>
      </c>
      <c r="AI35" s="265"/>
      <c r="AJ35" s="264">
        <f>SUM(CapResCapPrj!I37:I39)</f>
        <v>0</v>
      </c>
      <c r="AK35" s="265"/>
      <c r="AL35" s="264">
        <f>SUM(OtherEnterprise!I28:I30)</f>
        <v>0</v>
      </c>
      <c r="AM35" s="265"/>
      <c r="AO35" s="265"/>
      <c r="AP35" s="264">
        <f>SUM(OtherInternal!I30:I32)</f>
        <v>0</v>
      </c>
      <c r="AQ35" s="265"/>
      <c r="AR35" s="264"/>
      <c r="AS35" s="265"/>
      <c r="AT35" s="265"/>
      <c r="AU35" s="264">
        <f>SUM(RiskRelated!I26:I28)</f>
        <v>0</v>
      </c>
      <c r="AV35" s="265"/>
      <c r="AW35" s="264">
        <f>SUM('Trust&amp;Agency'!I25+'Trust&amp;Agency'!I26+'Trust&amp;Agency'!I27)</f>
        <v>0</v>
      </c>
      <c r="AX35" s="265"/>
      <c r="AY35" s="264"/>
      <c r="AZ35" s="265"/>
      <c r="BA35" s="264"/>
      <c r="BB35" s="265"/>
      <c r="BC35" s="264">
        <f>SUM(PupilActAgency!I26+PupilActAgency!I27+PupilActAgency!I28)</f>
        <v>0</v>
      </c>
      <c r="BD35" s="265"/>
      <c r="BE35" s="264">
        <f>SUM('Foundation Fund'!I25+'Foundation Fund'!I26+'Foundation Fund'!I27)</f>
        <v>0</v>
      </c>
      <c r="BF35" s="265"/>
      <c r="BG35" s="264"/>
      <c r="BH35" s="265"/>
      <c r="BI35" s="264">
        <f t="shared" si="2"/>
        <v>0</v>
      </c>
      <c r="BJ35" s="268"/>
      <c r="BK35" s="269"/>
      <c r="BL35" s="269"/>
      <c r="BM35" s="270"/>
    </row>
    <row r="36" spans="1:65" s="282" customFormat="1" ht="21.75" customHeight="1" x14ac:dyDescent="0.25">
      <c r="A36" s="246" t="s">
        <v>898</v>
      </c>
      <c r="B36" s="283" t="s">
        <v>1582</v>
      </c>
      <c r="C36" s="268"/>
      <c r="D36" s="281">
        <f>GenFundExp!B1101+GenFundExp!B1102</f>
        <v>0</v>
      </c>
      <c r="E36" s="265"/>
      <c r="F36" s="264">
        <f>CharterFundExp!B1101+CharterFundExp!B1102</f>
        <v>0</v>
      </c>
      <c r="G36" s="265"/>
      <c r="H36" s="264"/>
      <c r="I36" s="265"/>
      <c r="J36" s="264">
        <f>SUM('CPP Fund'!I50:I51)</f>
        <v>0</v>
      </c>
      <c r="K36" s="265"/>
      <c r="L36" s="281"/>
      <c r="M36" s="265"/>
      <c r="N36" s="264"/>
      <c r="O36" s="265"/>
      <c r="P36" s="264"/>
      <c r="Q36" s="265"/>
      <c r="R36" s="264">
        <f>PupActiv!I36</f>
        <v>0</v>
      </c>
      <c r="S36" s="265"/>
      <c r="T36" s="264">
        <f>FullDayKOverride!I32</f>
        <v>0</v>
      </c>
      <c r="U36" s="265"/>
      <c r="V36" s="264"/>
      <c r="W36" s="265"/>
      <c r="X36" s="264">
        <f>OthSpecRev!I31</f>
        <v>0</v>
      </c>
      <c r="Y36" s="265"/>
      <c r="Z36" s="265"/>
      <c r="AA36" s="264"/>
      <c r="AB36" s="265"/>
      <c r="AC36" s="264"/>
      <c r="AD36" s="264"/>
      <c r="AE36" s="265"/>
      <c r="AF36" s="264"/>
      <c r="AG36" s="265"/>
      <c r="AH36" s="264">
        <f>SpecBuild!I23</f>
        <v>0</v>
      </c>
      <c r="AI36" s="265"/>
      <c r="AJ36" s="264">
        <f>CapResCapPrj!I40</f>
        <v>0</v>
      </c>
      <c r="AK36" s="265"/>
      <c r="AL36" s="264">
        <f>OtherEnterprise!I31</f>
        <v>0</v>
      </c>
      <c r="AM36" s="265"/>
      <c r="AO36" s="265"/>
      <c r="AP36" s="264">
        <f>OtherInternal!I33</f>
        <v>0</v>
      </c>
      <c r="AQ36" s="265"/>
      <c r="AR36" s="264"/>
      <c r="AS36" s="265"/>
      <c r="AT36" s="265"/>
      <c r="AU36" s="264">
        <f>RiskRelated!I29</f>
        <v>0</v>
      </c>
      <c r="AV36" s="265"/>
      <c r="AW36" s="264">
        <f>'Trust&amp;Agency'!I28</f>
        <v>0</v>
      </c>
      <c r="AX36" s="265"/>
      <c r="AY36" s="264"/>
      <c r="AZ36" s="265"/>
      <c r="BA36" s="264"/>
      <c r="BB36" s="265"/>
      <c r="BC36" s="264">
        <f>PupilActAgency!I29</f>
        <v>0</v>
      </c>
      <c r="BD36" s="265"/>
      <c r="BE36" s="264">
        <f>'Foundation Fund'!I28</f>
        <v>0</v>
      </c>
      <c r="BF36" s="265"/>
      <c r="BG36" s="264"/>
      <c r="BH36" s="265"/>
      <c r="BI36" s="264">
        <f t="shared" si="2"/>
        <v>0</v>
      </c>
      <c r="BJ36" s="268"/>
      <c r="BK36" s="269"/>
      <c r="BL36" s="269"/>
      <c r="BM36" s="270"/>
    </row>
    <row r="37" spans="1:65" s="282" customFormat="1" ht="21.75" customHeight="1" x14ac:dyDescent="0.25">
      <c r="A37" s="246" t="s">
        <v>899</v>
      </c>
      <c r="B37" s="283" t="s">
        <v>1583</v>
      </c>
      <c r="C37" s="268"/>
      <c r="D37" s="281">
        <f>GenFundExp!B1103+GenFundExp!B1104+GenFundExp!B1105+GenFundExp!B1106+GenFundExp!B1107</f>
        <v>0</v>
      </c>
      <c r="E37" s="265"/>
      <c r="F37" s="264">
        <f>CharterFundExp!B1103+CharterFundExp!B1104+CharterFundExp!B1105+CharterFundExp!B1106+CharterFundExp!B1107</f>
        <v>0</v>
      </c>
      <c r="G37" s="265"/>
      <c r="H37" s="264"/>
      <c r="I37" s="265"/>
      <c r="J37" s="264">
        <f>SUM('CPP Fund'!I52:I55)</f>
        <v>0</v>
      </c>
      <c r="K37" s="265"/>
      <c r="L37" s="281"/>
      <c r="M37" s="265"/>
      <c r="N37" s="264">
        <f>SUM(CapRes!I35:I43)</f>
        <v>0</v>
      </c>
      <c r="O37" s="265"/>
      <c r="P37" s="264"/>
      <c r="Q37" s="265"/>
      <c r="R37" s="264">
        <f>SUM(PupActiv!I37:I38)</f>
        <v>0</v>
      </c>
      <c r="S37" s="265"/>
      <c r="T37" s="264">
        <f>SUM(FullDayKOverride!I33:I35)</f>
        <v>0</v>
      </c>
      <c r="U37" s="265"/>
      <c r="V37" s="264"/>
      <c r="W37" s="265"/>
      <c r="X37" s="264">
        <f>SUM(OthSpecRev!I32+OthSpecRev!I33)</f>
        <v>0</v>
      </c>
      <c r="Y37" s="265"/>
      <c r="Z37" s="265"/>
      <c r="AA37" s="264"/>
      <c r="AB37" s="265"/>
      <c r="AC37" s="264"/>
      <c r="AD37" s="264"/>
      <c r="AE37" s="265"/>
      <c r="AF37" s="264"/>
      <c r="AG37" s="265"/>
      <c r="AH37" s="264">
        <f>SUM(SpecBuild!I24:I27)</f>
        <v>0</v>
      </c>
      <c r="AI37" s="265"/>
      <c r="AJ37" s="264">
        <f>SUM(CapResCapPrj!I41:I48)</f>
        <v>0</v>
      </c>
      <c r="AK37" s="265"/>
      <c r="AL37" s="264">
        <f>SUM(OtherEnterprise!I32:I33)</f>
        <v>0</v>
      </c>
      <c r="AM37" s="265"/>
      <c r="AO37" s="265"/>
      <c r="AP37" s="264">
        <f>SUM(OtherInternal!I34:I35)</f>
        <v>0</v>
      </c>
      <c r="AQ37" s="265"/>
      <c r="AR37" s="264"/>
      <c r="AS37" s="265"/>
      <c r="AT37" s="265"/>
      <c r="AU37" s="264">
        <f>SUM(RiskRelated!I30:I31)</f>
        <v>0</v>
      </c>
      <c r="AV37" s="265"/>
      <c r="AW37" s="264">
        <f>SUM('Trust&amp;Agency'!I29+'Trust&amp;Agency'!I30)</f>
        <v>0</v>
      </c>
      <c r="AX37" s="265"/>
      <c r="AY37" s="264"/>
      <c r="AZ37" s="265"/>
      <c r="BA37" s="264"/>
      <c r="BB37" s="265"/>
      <c r="BC37" s="264">
        <f>SUM(PupilActAgency!I30+PupilActAgency!I31)</f>
        <v>0</v>
      </c>
      <c r="BD37" s="265"/>
      <c r="BE37" s="264">
        <f>SUM('Foundation Fund'!I29+'Foundation Fund'!I30)</f>
        <v>0</v>
      </c>
      <c r="BF37" s="265"/>
      <c r="BG37" s="264"/>
      <c r="BH37" s="265"/>
      <c r="BI37" s="264">
        <f t="shared" si="2"/>
        <v>0</v>
      </c>
      <c r="BJ37" s="268"/>
      <c r="BK37" s="269"/>
      <c r="BL37" s="269"/>
      <c r="BM37" s="270"/>
    </row>
    <row r="38" spans="1:65" s="282" customFormat="1" ht="21.75" customHeight="1" thickBot="1" x14ac:dyDescent="0.3">
      <c r="A38" s="246" t="s">
        <v>900</v>
      </c>
      <c r="B38" s="283" t="s">
        <v>901</v>
      </c>
      <c r="C38" s="265"/>
      <c r="D38" s="281">
        <f>GenFundExp!B1108+GenFundExp!B1109+GenFundExp!B1110+GenFundExp!B1111</f>
        <v>0</v>
      </c>
      <c r="E38" s="265"/>
      <c r="F38" s="264">
        <f>CharterFundExp!B1108+CharterFundExp!B1109+CharterFundExp!B1110+CharterFundExp!B1111</f>
        <v>0</v>
      </c>
      <c r="G38" s="265"/>
      <c r="H38" s="264"/>
      <c r="I38" s="265"/>
      <c r="J38" s="264">
        <f>SUM('CPP Fund'!I56:I59)</f>
        <v>0</v>
      </c>
      <c r="K38" s="265"/>
      <c r="L38" s="281"/>
      <c r="M38" s="265"/>
      <c r="N38" s="264">
        <f>CapRes!I44</f>
        <v>0</v>
      </c>
      <c r="O38" s="265"/>
      <c r="P38" s="264"/>
      <c r="Q38" s="265"/>
      <c r="R38" s="264">
        <f>PupActiv!I39</f>
        <v>0</v>
      </c>
      <c r="S38" s="265"/>
      <c r="T38" s="264">
        <f>FullDayKOverride!I36</f>
        <v>0</v>
      </c>
      <c r="U38" s="265"/>
      <c r="V38" s="264"/>
      <c r="W38" s="265"/>
      <c r="X38" s="264">
        <f>SUM(OthSpecRev!I34)</f>
        <v>0</v>
      </c>
      <c r="Y38" s="265"/>
      <c r="Z38" s="265"/>
      <c r="AA38" s="264"/>
      <c r="AB38" s="265"/>
      <c r="AC38" s="264"/>
      <c r="AD38" s="264"/>
      <c r="AE38" s="265"/>
      <c r="AF38" s="264"/>
      <c r="AG38" s="265"/>
      <c r="AH38" s="264">
        <f>SpecBuild!I28</f>
        <v>0</v>
      </c>
      <c r="AI38" s="265"/>
      <c r="AJ38" s="264">
        <f>CapResCapPrj!I49</f>
        <v>0</v>
      </c>
      <c r="AK38" s="265"/>
      <c r="AL38" s="264">
        <f>+OtherEnterprise!I34+OtherEnterprise!I35</f>
        <v>0</v>
      </c>
      <c r="AM38" s="265"/>
      <c r="AO38" s="265"/>
      <c r="AP38" s="264">
        <f>SUM(OtherInternal!I36:I37)</f>
        <v>0</v>
      </c>
      <c r="AQ38" s="265"/>
      <c r="AR38" s="264"/>
      <c r="AS38" s="265"/>
      <c r="AT38" s="265"/>
      <c r="AU38" s="264">
        <f>+RiskRelated!I32+RiskRelated!I33</f>
        <v>0</v>
      </c>
      <c r="AV38" s="265"/>
      <c r="AW38" s="264">
        <f>'Trust&amp;Agency'!I31</f>
        <v>0</v>
      </c>
      <c r="AX38" s="265"/>
      <c r="AY38" s="264"/>
      <c r="AZ38" s="265"/>
      <c r="BA38" s="264"/>
      <c r="BB38" s="265"/>
      <c r="BC38" s="264">
        <f>PupilActAgency!I32</f>
        <v>0</v>
      </c>
      <c r="BD38" s="265"/>
      <c r="BE38" s="264">
        <f>'Foundation Fund'!I31</f>
        <v>0</v>
      </c>
      <c r="BF38" s="265"/>
      <c r="BG38" s="264"/>
      <c r="BH38" s="265"/>
      <c r="BI38" s="264">
        <f t="shared" si="2"/>
        <v>0</v>
      </c>
      <c r="BJ38" s="265"/>
      <c r="BK38" s="269"/>
      <c r="BL38" s="269"/>
      <c r="BM38" s="270"/>
    </row>
    <row r="39" spans="1:65" s="282" customFormat="1" ht="21.75" customHeight="1" thickBot="1" x14ac:dyDescent="0.3">
      <c r="A39" s="271" t="s">
        <v>902</v>
      </c>
      <c r="B39" s="279"/>
      <c r="C39" s="275"/>
      <c r="D39" s="274">
        <f>SUM(D33:D38)</f>
        <v>0</v>
      </c>
      <c r="E39" s="275"/>
      <c r="F39" s="274">
        <f>SUM(F33:F38)</f>
        <v>0</v>
      </c>
      <c r="G39" s="275"/>
      <c r="H39" s="274">
        <f>SUM(H33:H38)</f>
        <v>0</v>
      </c>
      <c r="I39" s="275"/>
      <c r="J39" s="274">
        <f>SUM(J33:J38)</f>
        <v>0</v>
      </c>
      <c r="K39" s="275"/>
      <c r="L39" s="274">
        <f>SUM(L33:L38)</f>
        <v>0</v>
      </c>
      <c r="M39" s="275"/>
      <c r="N39" s="274">
        <f>SUM(N33:N38)</f>
        <v>0</v>
      </c>
      <c r="O39" s="275"/>
      <c r="P39" s="274">
        <f>SUM(P33:P38)</f>
        <v>0</v>
      </c>
      <c r="Q39" s="275"/>
      <c r="R39" s="274">
        <f>SUM(R33:R38)</f>
        <v>0</v>
      </c>
      <c r="S39" s="275"/>
      <c r="T39" s="274">
        <f>SUM(T33:T38)</f>
        <v>0</v>
      </c>
      <c r="U39" s="275"/>
      <c r="V39" s="274">
        <f>SUM(V33:V38)</f>
        <v>0</v>
      </c>
      <c r="W39" s="275"/>
      <c r="X39" s="274">
        <f>SUM(X33:X38)</f>
        <v>0</v>
      </c>
      <c r="Y39" s="275"/>
      <c r="Z39" s="275"/>
      <c r="AA39" s="274">
        <f>SUM(AA33:AA38)</f>
        <v>0</v>
      </c>
      <c r="AB39" s="275"/>
      <c r="AC39" s="274">
        <f>SUM(AC33:AC38)</f>
        <v>0</v>
      </c>
      <c r="AD39" s="274">
        <f>SUM(AD33:AD38)</f>
        <v>0</v>
      </c>
      <c r="AE39" s="275"/>
      <c r="AF39" s="274">
        <f>SUM(AF33:AF38)</f>
        <v>0</v>
      </c>
      <c r="AG39" s="275"/>
      <c r="AH39" s="274">
        <f>SUM(AH33:AH38)</f>
        <v>0</v>
      </c>
      <c r="AI39" s="275"/>
      <c r="AJ39" s="274">
        <f>SUM(AJ33:AJ38)</f>
        <v>0</v>
      </c>
      <c r="AK39" s="275"/>
      <c r="AL39" s="274">
        <f>SUM(AL33:AL38)</f>
        <v>0</v>
      </c>
      <c r="AM39" s="275"/>
      <c r="AN39" s="274">
        <f>SUM(AN33:AN38)</f>
        <v>0</v>
      </c>
      <c r="AO39" s="275"/>
      <c r="AP39" s="274">
        <f>SUM(AP33:AP38)</f>
        <v>0</v>
      </c>
      <c r="AQ39" s="275"/>
      <c r="AR39" s="274">
        <f>SUM(AR33:AR38)</f>
        <v>0</v>
      </c>
      <c r="AS39" s="275"/>
      <c r="AT39" s="275"/>
      <c r="AU39" s="274">
        <f>SUM(AU33:AU38)</f>
        <v>0</v>
      </c>
      <c r="AV39" s="275"/>
      <c r="AW39" s="274">
        <f>SUM(AW33:AW38)</f>
        <v>0</v>
      </c>
      <c r="AX39" s="275"/>
      <c r="AY39" s="274">
        <f>SUM(AY33:AY38)</f>
        <v>0</v>
      </c>
      <c r="AZ39" s="275"/>
      <c r="BA39" s="274">
        <f>SUM(BA33:BA38)</f>
        <v>0</v>
      </c>
      <c r="BB39" s="275"/>
      <c r="BC39" s="274">
        <f>SUM(BC33:BC38)</f>
        <v>0</v>
      </c>
      <c r="BD39" s="275"/>
      <c r="BE39" s="274">
        <f>SUM(BE33:BE38)</f>
        <v>0</v>
      </c>
      <c r="BF39" s="275"/>
      <c r="BG39" s="274">
        <f>SUM(BG33:BG38)</f>
        <v>0</v>
      </c>
      <c r="BH39" s="275"/>
      <c r="BI39" s="274">
        <f t="shared" si="2"/>
        <v>0</v>
      </c>
      <c r="BJ39" s="275"/>
      <c r="BK39" s="276"/>
      <c r="BL39" s="276"/>
      <c r="BM39" s="270"/>
    </row>
    <row r="40" spans="1:65" s="282" customFormat="1" ht="21.75" customHeight="1" x14ac:dyDescent="0.25">
      <c r="A40" s="246" t="s">
        <v>903</v>
      </c>
      <c r="B40" s="262"/>
      <c r="C40" s="268"/>
      <c r="D40" s="264"/>
      <c r="E40" s="265"/>
      <c r="F40" s="264"/>
      <c r="G40" s="265"/>
      <c r="H40" s="264"/>
      <c r="I40" s="265"/>
      <c r="J40" s="270"/>
      <c r="K40" s="265"/>
      <c r="L40" s="281"/>
      <c r="M40" s="265"/>
      <c r="N40" s="264"/>
      <c r="O40" s="265"/>
      <c r="P40" s="264"/>
      <c r="Q40" s="265"/>
      <c r="R40" s="264"/>
      <c r="S40" s="265"/>
      <c r="T40" s="264"/>
      <c r="U40" s="265"/>
      <c r="V40" s="264"/>
      <c r="W40" s="265"/>
      <c r="X40" s="270"/>
      <c r="Y40" s="265"/>
      <c r="Z40" s="265"/>
      <c r="AA40" s="264"/>
      <c r="AB40" s="265"/>
      <c r="AC40" s="264"/>
      <c r="AD40" s="264"/>
      <c r="AE40" s="265"/>
      <c r="AF40" s="264"/>
      <c r="AG40" s="265"/>
      <c r="AH40" s="264"/>
      <c r="AI40" s="265"/>
      <c r="AJ40" s="264"/>
      <c r="AK40" s="265"/>
      <c r="AL40" s="264"/>
      <c r="AM40" s="265"/>
      <c r="AN40" s="264"/>
      <c r="AO40" s="265"/>
      <c r="AP40" s="264"/>
      <c r="AQ40" s="265"/>
      <c r="AR40" s="264"/>
      <c r="AS40" s="265"/>
      <c r="AT40" s="265"/>
      <c r="AU40" s="264"/>
      <c r="AV40" s="265"/>
      <c r="AW40" s="270"/>
      <c r="AX40" s="265"/>
      <c r="AY40" s="264"/>
      <c r="AZ40" s="265"/>
      <c r="BA40" s="264"/>
      <c r="BB40" s="265"/>
      <c r="BC40" s="264"/>
      <c r="BD40" s="265"/>
      <c r="BE40" s="264"/>
      <c r="BF40" s="265"/>
      <c r="BG40" s="264"/>
      <c r="BH40" s="265"/>
      <c r="BI40" s="270"/>
      <c r="BJ40" s="268"/>
      <c r="BK40" s="269"/>
      <c r="BL40" s="269"/>
      <c r="BM40" s="270"/>
    </row>
    <row r="41" spans="1:65" s="282" customFormat="1" ht="21.75" customHeight="1" x14ac:dyDescent="0.25">
      <c r="A41" s="246" t="s">
        <v>904</v>
      </c>
      <c r="B41" s="262"/>
      <c r="C41" s="268"/>
      <c r="D41" s="264"/>
      <c r="E41" s="265"/>
      <c r="F41" s="264"/>
      <c r="G41" s="265"/>
      <c r="H41" s="264"/>
      <c r="I41" s="265"/>
      <c r="J41" s="299" t="s">
        <v>1340</v>
      </c>
      <c r="K41" s="265"/>
      <c r="L41" s="281"/>
      <c r="M41" s="265"/>
      <c r="N41" s="299" t="s">
        <v>1341</v>
      </c>
      <c r="O41" s="265"/>
      <c r="P41" s="264"/>
      <c r="Q41" s="265"/>
      <c r="R41" s="299" t="s">
        <v>1343</v>
      </c>
      <c r="S41" s="265"/>
      <c r="T41" s="299"/>
      <c r="U41" s="265"/>
      <c r="V41" s="299" t="s">
        <v>1344</v>
      </c>
      <c r="W41" s="265"/>
      <c r="X41" s="299" t="s">
        <v>1340</v>
      </c>
      <c r="Y41" s="265"/>
      <c r="Z41" s="265"/>
      <c r="AA41" s="264"/>
      <c r="AB41" s="265"/>
      <c r="AC41" s="264"/>
      <c r="AD41" s="264"/>
      <c r="AE41" s="265"/>
      <c r="AF41" s="264"/>
      <c r="AG41" s="265"/>
      <c r="AH41" s="264"/>
      <c r="AI41" s="265"/>
      <c r="AJ41" s="294" t="s">
        <v>1341</v>
      </c>
      <c r="AK41" s="265"/>
      <c r="AL41" s="264"/>
      <c r="AM41" s="265"/>
      <c r="AN41" s="264"/>
      <c r="AO41" s="265"/>
      <c r="AP41" s="294"/>
      <c r="AQ41" s="265"/>
      <c r="AR41" s="264"/>
      <c r="AS41" s="265"/>
      <c r="AT41" s="265"/>
      <c r="AU41" s="264"/>
      <c r="AV41" s="265"/>
      <c r="AW41" s="295" t="s">
        <v>167</v>
      </c>
      <c r="AX41" s="265"/>
      <c r="AY41" s="264"/>
      <c r="AZ41" s="265"/>
      <c r="BA41" s="264"/>
      <c r="BB41" s="265"/>
      <c r="BC41" s="295" t="s">
        <v>167</v>
      </c>
      <c r="BD41" s="265"/>
      <c r="BE41" s="295" t="s">
        <v>167</v>
      </c>
      <c r="BF41" s="265"/>
      <c r="BG41" s="657"/>
      <c r="BH41" s="265"/>
      <c r="BI41" s="270"/>
      <c r="BJ41" s="268"/>
      <c r="BK41" s="269"/>
      <c r="BL41" s="269"/>
      <c r="BM41" s="270"/>
    </row>
    <row r="42" spans="1:65" s="282" customFormat="1" ht="21.75" customHeight="1" x14ac:dyDescent="0.25">
      <c r="A42" s="246" t="s">
        <v>23</v>
      </c>
      <c r="B42" s="283" t="s">
        <v>1577</v>
      </c>
      <c r="C42" s="268"/>
      <c r="D42" s="264">
        <f>GenFundExp2!I10+GenFundExp2!I11</f>
        <v>0</v>
      </c>
      <c r="E42" s="265"/>
      <c r="F42" s="264">
        <f>CharterFundExp2!I10+CharterFundExp2!I11</f>
        <v>0</v>
      </c>
      <c r="G42" s="265"/>
      <c r="H42" s="264"/>
      <c r="I42" s="265"/>
      <c r="J42" s="264">
        <f>'CPP Fund'!I75+'CPP Fund'!I76</f>
        <v>0</v>
      </c>
      <c r="K42" s="265"/>
      <c r="L42" s="281"/>
      <c r="M42" s="265"/>
      <c r="N42" s="264"/>
      <c r="O42" s="265"/>
      <c r="P42" s="264"/>
      <c r="Q42" s="265"/>
      <c r="R42" s="264">
        <f>PupActiv!I44</f>
        <v>0</v>
      </c>
      <c r="S42" s="265"/>
      <c r="T42" s="264"/>
      <c r="U42" s="265"/>
      <c r="V42" s="264">
        <f>Transp!I26</f>
        <v>0</v>
      </c>
      <c r="W42" s="265"/>
      <c r="X42" s="264">
        <f>OthSpecRev!I39</f>
        <v>0</v>
      </c>
      <c r="Y42" s="265"/>
      <c r="Z42" s="265"/>
      <c r="AA42" s="264"/>
      <c r="AB42" s="265"/>
      <c r="AC42" s="264"/>
      <c r="AD42" s="264"/>
      <c r="AE42" s="265"/>
      <c r="AF42" s="264"/>
      <c r="AG42" s="265"/>
      <c r="AH42" s="264"/>
      <c r="AI42" s="265"/>
      <c r="AJ42" s="264">
        <f>CapResCapPrj!I54</f>
        <v>0</v>
      </c>
      <c r="AK42" s="265"/>
      <c r="AL42" s="264"/>
      <c r="AM42" s="265"/>
      <c r="AN42" s="264"/>
      <c r="AO42" s="265"/>
      <c r="AP42" s="264"/>
      <c r="AQ42" s="265"/>
      <c r="AR42" s="264"/>
      <c r="AS42" s="265"/>
      <c r="AT42" s="265"/>
      <c r="AU42" s="264"/>
      <c r="AV42" s="265"/>
      <c r="AW42" s="264">
        <f>'Trust&amp;Agency'!I36</f>
        <v>0</v>
      </c>
      <c r="AX42" s="265"/>
      <c r="AY42" s="264"/>
      <c r="AZ42" s="265"/>
      <c r="BA42" s="264"/>
      <c r="BB42" s="265"/>
      <c r="BC42" s="264">
        <f>PupilActAgency!I37</f>
        <v>0</v>
      </c>
      <c r="BD42" s="265"/>
      <c r="BE42" s="264">
        <f>'Foundation Fund'!I36</f>
        <v>0</v>
      </c>
      <c r="BF42" s="265"/>
      <c r="BG42" s="264"/>
      <c r="BH42" s="265"/>
      <c r="BI42" s="264">
        <f t="shared" ref="BI42:BI48" si="3">D42+F42+H42+J42+X42+N42+P42+R42+L42+T42+V42+AA42+AC42+AD42+AF42+AH42+AJ42+AL42+AN42+AP42+AR42+AU42+AW42+AY42+BA42+BC42+BE42+BG42</f>
        <v>0</v>
      </c>
      <c r="BJ42" s="268"/>
      <c r="BK42" s="269"/>
      <c r="BL42" s="269"/>
      <c r="BM42" s="270"/>
    </row>
    <row r="43" spans="1:65" s="282" customFormat="1" ht="18" x14ac:dyDescent="0.25">
      <c r="A43" s="246" t="s">
        <v>24</v>
      </c>
      <c r="B43" s="283" t="s">
        <v>1578</v>
      </c>
      <c r="C43" s="268"/>
      <c r="D43" s="264">
        <f>GenFundExp2!I12+GenFundExp2!I13</f>
        <v>0</v>
      </c>
      <c r="E43" s="265"/>
      <c r="F43" s="264">
        <f>CharterFundExp2!I12+CharterFundExp2!I13</f>
        <v>0</v>
      </c>
      <c r="G43" s="265"/>
      <c r="H43" s="264"/>
      <c r="I43" s="265"/>
      <c r="J43" s="264">
        <f>'CPP Fund'!I77+'CPP Fund'!I78</f>
        <v>0</v>
      </c>
      <c r="K43" s="265"/>
      <c r="L43" s="281"/>
      <c r="M43" s="265"/>
      <c r="N43" s="264"/>
      <c r="O43" s="265"/>
      <c r="P43" s="264"/>
      <c r="Q43" s="265"/>
      <c r="R43" s="264">
        <f>PupActiv!I45</f>
        <v>0</v>
      </c>
      <c r="S43" s="265"/>
      <c r="T43" s="264"/>
      <c r="U43" s="265"/>
      <c r="V43" s="264">
        <f>Transp!I27</f>
        <v>0</v>
      </c>
      <c r="W43" s="265"/>
      <c r="X43" s="264">
        <f>OthSpecRev!I40</f>
        <v>0</v>
      </c>
      <c r="Y43" s="265"/>
      <c r="Z43" s="265"/>
      <c r="AA43" s="264"/>
      <c r="AB43" s="265"/>
      <c r="AC43" s="264"/>
      <c r="AD43" s="264"/>
      <c r="AE43" s="265"/>
      <c r="AF43" s="264"/>
      <c r="AG43" s="265"/>
      <c r="AH43" s="264"/>
      <c r="AI43" s="265"/>
      <c r="AJ43" s="264">
        <f>CapResCapPrj!I55</f>
        <v>0</v>
      </c>
      <c r="AK43" s="265"/>
      <c r="AL43" s="264"/>
      <c r="AM43" s="265"/>
      <c r="AN43" s="264"/>
      <c r="AO43" s="265"/>
      <c r="AP43" s="264"/>
      <c r="AQ43" s="265"/>
      <c r="AR43" s="264"/>
      <c r="AS43" s="265"/>
      <c r="AT43" s="265"/>
      <c r="AU43" s="264"/>
      <c r="AV43" s="265"/>
      <c r="AW43" s="264">
        <f>'Trust&amp;Agency'!I37</f>
        <v>0</v>
      </c>
      <c r="AX43" s="265"/>
      <c r="AY43" s="264"/>
      <c r="AZ43" s="265"/>
      <c r="BA43" s="264"/>
      <c r="BB43" s="265"/>
      <c r="BC43" s="264">
        <f>PupilActAgency!I38</f>
        <v>0</v>
      </c>
      <c r="BD43" s="265"/>
      <c r="BE43" s="264">
        <f>'Foundation Fund'!I37</f>
        <v>0</v>
      </c>
      <c r="BF43" s="265"/>
      <c r="BG43" s="264"/>
      <c r="BH43" s="265"/>
      <c r="BI43" s="264">
        <f t="shared" si="3"/>
        <v>0</v>
      </c>
      <c r="BJ43" s="268"/>
      <c r="BK43" s="269"/>
      <c r="BL43" s="269"/>
      <c r="BM43" s="270"/>
    </row>
    <row r="44" spans="1:65" s="282" customFormat="1" ht="36" x14ac:dyDescent="0.25">
      <c r="A44" s="246" t="s">
        <v>25</v>
      </c>
      <c r="B44" s="283" t="s">
        <v>897</v>
      </c>
      <c r="C44" s="268"/>
      <c r="D44" s="264">
        <f>SUM(GenFundExp2!I14+GenFundExp2!I15+GenFundExp2!I16+GenFundExp2!I17+GenFundExp2!I18+GenFundExp2!I19+GenFundExp2!I20+GenFundExp2!I21+GenFundExp2!I22+GenFundExp2!I23+GenFundExp2!I24+GenFundExp2!I25+GenFundExp2!I26+GenFundExp2!I27+GenFundExp2!I28+GenFundExp2!I29+GenFundExp2!I30+GenFundExp2!I31)</f>
        <v>0</v>
      </c>
      <c r="E44" s="265"/>
      <c r="F44" s="264">
        <f>SUM(CharterFundExp2!I14+CharterFundExp2!I15+CharterFundExp2!I16+CharterFundExp2!I17+CharterFundExp2!I18+CharterFundExp2!I19+CharterFundExp2!I20+CharterFundExp2!I21+CharterFundExp2!I22+CharterFundExp2!I23+CharterFundExp2!I24+CharterFundExp2!I25+CharterFundExp2!I26+CharterFundExp2!I27+CharterFundExp2!I28+CharterFundExp2!I29+CharterFundExp2!I30+CharterFundExp2!I31)</f>
        <v>0</v>
      </c>
      <c r="G44" s="265"/>
      <c r="H44" s="264"/>
      <c r="I44" s="265"/>
      <c r="J44" s="264">
        <f>SUM('CPP Fund'!I79:I96)</f>
        <v>0</v>
      </c>
      <c r="K44" s="265"/>
      <c r="L44" s="281"/>
      <c r="M44" s="265"/>
      <c r="N44" s="264">
        <f>CapRes!I49</f>
        <v>0</v>
      </c>
      <c r="O44" s="265"/>
      <c r="P44" s="264"/>
      <c r="Q44" s="265"/>
      <c r="R44" s="264">
        <f>SUM(PupActiv!I46:I48)</f>
        <v>0</v>
      </c>
      <c r="S44" s="265"/>
      <c r="T44" s="264"/>
      <c r="U44" s="265"/>
      <c r="V44" s="264">
        <f>SUM(Transp!I28:I30)</f>
        <v>0</v>
      </c>
      <c r="W44" s="265"/>
      <c r="X44" s="264">
        <f>SUM(OthSpecRev!I41:I43)</f>
        <v>0</v>
      </c>
      <c r="Y44" s="265"/>
      <c r="Z44" s="265"/>
      <c r="AA44" s="264"/>
      <c r="AB44" s="265"/>
      <c r="AC44" s="264"/>
      <c r="AD44" s="264"/>
      <c r="AE44" s="265"/>
      <c r="AF44" s="264"/>
      <c r="AG44" s="265"/>
      <c r="AH44" s="264"/>
      <c r="AI44" s="265"/>
      <c r="AJ44" s="264">
        <f>SUM(CapResCapPrj!I56:I58)</f>
        <v>0</v>
      </c>
      <c r="AK44" s="265"/>
      <c r="AL44" s="264"/>
      <c r="AM44" s="265"/>
      <c r="AN44" s="264"/>
      <c r="AO44" s="265"/>
      <c r="AP44" s="264"/>
      <c r="AQ44" s="265"/>
      <c r="AR44" s="264"/>
      <c r="AS44" s="265"/>
      <c r="AT44" s="265"/>
      <c r="AU44" s="264"/>
      <c r="AV44" s="265"/>
      <c r="AW44" s="264">
        <f>SUM('Trust&amp;Agency'!I38+'Trust&amp;Agency'!I39+'Trust&amp;Agency'!I40)</f>
        <v>0</v>
      </c>
      <c r="AX44" s="265"/>
      <c r="AY44" s="264"/>
      <c r="AZ44" s="265"/>
      <c r="BA44" s="264"/>
      <c r="BB44" s="265"/>
      <c r="BC44" s="264">
        <f>SUM(PupilActAgency!I39+PupilActAgency!I40+PupilActAgency!I41)</f>
        <v>0</v>
      </c>
      <c r="BD44" s="265"/>
      <c r="BE44" s="264">
        <f>SUM('Foundation Fund'!I38+'Foundation Fund'!I39+'Foundation Fund'!I40)</f>
        <v>0</v>
      </c>
      <c r="BF44" s="265"/>
      <c r="BG44" s="264"/>
      <c r="BH44" s="265"/>
      <c r="BI44" s="264">
        <f t="shared" si="3"/>
        <v>0</v>
      </c>
      <c r="BJ44" s="268"/>
      <c r="BK44" s="269"/>
      <c r="BL44" s="269"/>
      <c r="BM44" s="270"/>
    </row>
    <row r="45" spans="1:65" s="282" customFormat="1" ht="18" x14ac:dyDescent="0.25">
      <c r="A45" s="246" t="s">
        <v>898</v>
      </c>
      <c r="B45" s="283" t="s">
        <v>1582</v>
      </c>
      <c r="C45" s="268"/>
      <c r="D45" s="264">
        <f>SUM(GenFundExp2!I32+GenFundExp2!I33)</f>
        <v>0</v>
      </c>
      <c r="E45" s="265"/>
      <c r="F45" s="264">
        <f>SUM(CharterFundExp2!I32+CharterFundExp2!I33)</f>
        <v>0</v>
      </c>
      <c r="G45" s="265"/>
      <c r="H45" s="264"/>
      <c r="I45" s="265"/>
      <c r="J45" s="264">
        <f>SUM('CPP Fund'!I97:I98)</f>
        <v>0</v>
      </c>
      <c r="K45" s="265"/>
      <c r="L45" s="281"/>
      <c r="M45" s="265"/>
      <c r="N45" s="264"/>
      <c r="O45" s="265"/>
      <c r="P45" s="264"/>
      <c r="Q45" s="265"/>
      <c r="R45" s="264">
        <f>PupActiv!I49</f>
        <v>0</v>
      </c>
      <c r="S45" s="265"/>
      <c r="T45" s="264"/>
      <c r="U45" s="265"/>
      <c r="V45" s="264">
        <f>Transp!I31</f>
        <v>0</v>
      </c>
      <c r="W45" s="265"/>
      <c r="X45" s="264">
        <f>SUM(OthSpecRev!I44)</f>
        <v>0</v>
      </c>
      <c r="Y45" s="265"/>
      <c r="Z45" s="265"/>
      <c r="AA45" s="264"/>
      <c r="AB45" s="265"/>
      <c r="AC45" s="264"/>
      <c r="AD45" s="264"/>
      <c r="AE45" s="265"/>
      <c r="AF45" s="264"/>
      <c r="AG45" s="265"/>
      <c r="AH45" s="264"/>
      <c r="AI45" s="265"/>
      <c r="AJ45" s="264">
        <f>CapResCapPrj!I59</f>
        <v>0</v>
      </c>
      <c r="AK45" s="265"/>
      <c r="AL45" s="264"/>
      <c r="AM45" s="265"/>
      <c r="AN45" s="264"/>
      <c r="AO45" s="265"/>
      <c r="AP45" s="264"/>
      <c r="AQ45" s="265"/>
      <c r="AR45" s="264"/>
      <c r="AS45" s="265"/>
      <c r="AT45" s="265"/>
      <c r="AU45" s="264"/>
      <c r="AV45" s="265"/>
      <c r="AW45" s="264">
        <f>'Trust&amp;Agency'!I41</f>
        <v>0</v>
      </c>
      <c r="AX45" s="265"/>
      <c r="AY45" s="264"/>
      <c r="AZ45" s="265"/>
      <c r="BA45" s="264"/>
      <c r="BB45" s="265"/>
      <c r="BC45" s="264">
        <f>PupilActAgency!I42</f>
        <v>0</v>
      </c>
      <c r="BD45" s="265"/>
      <c r="BE45" s="264">
        <f>'Foundation Fund'!I41</f>
        <v>0</v>
      </c>
      <c r="BF45" s="265"/>
      <c r="BG45" s="264"/>
      <c r="BH45" s="265"/>
      <c r="BI45" s="264">
        <f t="shared" si="3"/>
        <v>0</v>
      </c>
      <c r="BJ45" s="268"/>
      <c r="BK45" s="269"/>
      <c r="BL45" s="269"/>
      <c r="BM45" s="270"/>
    </row>
    <row r="46" spans="1:65" s="282" customFormat="1" ht="18" x14ac:dyDescent="0.25">
      <c r="A46" s="246" t="s">
        <v>899</v>
      </c>
      <c r="B46" s="283" t="s">
        <v>1583</v>
      </c>
      <c r="C46" s="268"/>
      <c r="D46" s="264">
        <f>SUM(GenFundExp2!I34+GenFundExp2!I35+GenFundExp2!I36+GenFundExp2!I37)</f>
        <v>0</v>
      </c>
      <c r="E46" s="265"/>
      <c r="F46" s="264">
        <f>SUM(CharterFundExp2!I34+CharterFundExp2!I35+CharterFundExp2!I36+CharterFundExp2!I37)</f>
        <v>0</v>
      </c>
      <c r="G46" s="265"/>
      <c r="H46" s="264"/>
      <c r="I46" s="265"/>
      <c r="J46" s="264">
        <f>SUM('CPP Fund'!I99:I103)</f>
        <v>0</v>
      </c>
      <c r="K46" s="265"/>
      <c r="L46" s="281"/>
      <c r="M46" s="265"/>
      <c r="N46" s="264">
        <f>SUM(CapRes!I50:I58)</f>
        <v>0</v>
      </c>
      <c r="O46" s="265"/>
      <c r="P46" s="264"/>
      <c r="Q46" s="265"/>
      <c r="R46" s="264">
        <f>SUM(PupActiv!I50:I51)</f>
        <v>0</v>
      </c>
      <c r="S46" s="265"/>
      <c r="T46" s="264"/>
      <c r="U46" s="265"/>
      <c r="V46" s="264">
        <f>SUM(Transp!I32:I34)</f>
        <v>0</v>
      </c>
      <c r="W46" s="265"/>
      <c r="X46" s="264">
        <f>SUM(OthSpecRev!I45:I46)</f>
        <v>0</v>
      </c>
      <c r="Y46" s="265"/>
      <c r="Z46" s="265"/>
      <c r="AA46" s="264"/>
      <c r="AB46" s="265"/>
      <c r="AC46" s="264"/>
      <c r="AD46" s="264"/>
      <c r="AE46" s="265"/>
      <c r="AF46" s="264"/>
      <c r="AG46" s="265"/>
      <c r="AH46" s="264"/>
      <c r="AI46" s="265"/>
      <c r="AJ46" s="264">
        <f>SUM(CapResCapPrj!I60:I67)</f>
        <v>0</v>
      </c>
      <c r="AK46" s="265"/>
      <c r="AL46" s="264"/>
      <c r="AM46" s="265"/>
      <c r="AN46" s="264"/>
      <c r="AO46" s="265"/>
      <c r="AP46" s="264"/>
      <c r="AQ46" s="265"/>
      <c r="AR46" s="264"/>
      <c r="AS46" s="265"/>
      <c r="AT46" s="265"/>
      <c r="AU46" s="264"/>
      <c r="AV46" s="265"/>
      <c r="AW46" s="264">
        <f>SUM('Trust&amp;Agency'!I42+'Trust&amp;Agency'!I43)</f>
        <v>0</v>
      </c>
      <c r="AX46" s="265"/>
      <c r="AY46" s="264"/>
      <c r="AZ46" s="265"/>
      <c r="BA46" s="264"/>
      <c r="BB46" s="265"/>
      <c r="BC46" s="264">
        <f>SUM(PupilActAgency!I43+PupilActAgency!I44)</f>
        <v>0</v>
      </c>
      <c r="BD46" s="265"/>
      <c r="BE46" s="264">
        <f>SUM('Foundation Fund'!I42+'Foundation Fund'!I43)</f>
        <v>0</v>
      </c>
      <c r="BF46" s="265"/>
      <c r="BG46" s="264"/>
      <c r="BH46" s="265"/>
      <c r="BI46" s="264">
        <f t="shared" si="3"/>
        <v>0</v>
      </c>
      <c r="BJ46" s="268"/>
      <c r="BK46" s="269"/>
      <c r="BL46" s="269"/>
      <c r="BM46" s="270"/>
    </row>
    <row r="47" spans="1:65" s="282" customFormat="1" ht="18.75" thickBot="1" x14ac:dyDescent="0.3">
      <c r="A47" s="246" t="s">
        <v>900</v>
      </c>
      <c r="B47" s="283" t="s">
        <v>901</v>
      </c>
      <c r="C47" s="268"/>
      <c r="D47" s="264">
        <f>SUM(GenFundExp2!I38+GenFundExp2!I39+GenFundExp2!I40+GenFundExp2!I41+GenFundExp2!I42+GenFundExp2!I43)</f>
        <v>0</v>
      </c>
      <c r="E47" s="265"/>
      <c r="F47" s="264">
        <f>SUM(CharterFundExp2!I38+CharterFundExp2!I39+CharterFundExp2!I40+CharterFundExp2!I41+CharterFundExp2!I42+CharterFundExp2!I43)</f>
        <v>0</v>
      </c>
      <c r="G47" s="265"/>
      <c r="H47" s="264"/>
      <c r="I47" s="265"/>
      <c r="J47" s="264">
        <f>SUM('CPP Fund'!I104:I109)</f>
        <v>0</v>
      </c>
      <c r="K47" s="265"/>
      <c r="L47" s="281"/>
      <c r="M47" s="265"/>
      <c r="N47" s="264">
        <f>CapRes!I59</f>
        <v>0</v>
      </c>
      <c r="O47" s="265"/>
      <c r="P47" s="264"/>
      <c r="Q47" s="265"/>
      <c r="R47" s="264">
        <f>SUM(PupActiv!I52:I53)</f>
        <v>0</v>
      </c>
      <c r="S47" s="265"/>
      <c r="T47" s="264"/>
      <c r="U47" s="265"/>
      <c r="V47" s="264">
        <f>Transp!I35</f>
        <v>0</v>
      </c>
      <c r="W47" s="265"/>
      <c r="X47" s="264">
        <f>OthSpecRev!I47</f>
        <v>0</v>
      </c>
      <c r="Y47" s="265"/>
      <c r="Z47" s="265"/>
      <c r="AA47" s="264"/>
      <c r="AB47" s="265"/>
      <c r="AC47" s="264"/>
      <c r="AD47" s="264"/>
      <c r="AE47" s="265"/>
      <c r="AF47" s="264"/>
      <c r="AG47" s="265"/>
      <c r="AH47" s="264"/>
      <c r="AI47" s="265"/>
      <c r="AJ47" s="264">
        <f>CapResCapPrj!I68</f>
        <v>0</v>
      </c>
      <c r="AK47" s="265"/>
      <c r="AL47" s="264"/>
      <c r="AM47" s="265"/>
      <c r="AN47" s="264"/>
      <c r="AO47" s="265"/>
      <c r="AP47" s="264"/>
      <c r="AQ47" s="265"/>
      <c r="AR47" s="264"/>
      <c r="AS47" s="265"/>
      <c r="AT47" s="265"/>
      <c r="AU47" s="264"/>
      <c r="AV47" s="265"/>
      <c r="AW47" s="264">
        <f>SUM('Trust&amp;Agency'!I44+'Trust&amp;Agency'!I45)</f>
        <v>0</v>
      </c>
      <c r="AX47" s="265"/>
      <c r="AY47" s="264"/>
      <c r="AZ47" s="265"/>
      <c r="BA47" s="264"/>
      <c r="BB47" s="265"/>
      <c r="BC47" s="264">
        <f>SUM(PupilActAgency!I45+PupilActAgency!I46)</f>
        <v>0</v>
      </c>
      <c r="BD47" s="265"/>
      <c r="BE47" s="264">
        <f>SUM('Foundation Fund'!I44+'Foundation Fund'!I45)</f>
        <v>0</v>
      </c>
      <c r="BF47" s="265"/>
      <c r="BG47" s="264"/>
      <c r="BH47" s="265"/>
      <c r="BI47" s="264">
        <f t="shared" si="3"/>
        <v>0</v>
      </c>
      <c r="BJ47" s="268"/>
      <c r="BK47" s="269"/>
      <c r="BL47" s="269"/>
      <c r="BM47" s="270"/>
    </row>
    <row r="48" spans="1:65" s="282" customFormat="1" ht="18.75" thickBot="1" x14ac:dyDescent="0.3">
      <c r="A48" s="271" t="s">
        <v>905</v>
      </c>
      <c r="B48" s="279"/>
      <c r="C48" s="275"/>
      <c r="D48" s="274">
        <f>SUM(D42:D47)</f>
        <v>0</v>
      </c>
      <c r="E48" s="275"/>
      <c r="F48" s="274">
        <f>SUM(F42:F47)</f>
        <v>0</v>
      </c>
      <c r="G48" s="275"/>
      <c r="H48" s="274">
        <f>SUM(H42:H47)</f>
        <v>0</v>
      </c>
      <c r="I48" s="275"/>
      <c r="J48" s="274">
        <f>SUM(J42:J47)</f>
        <v>0</v>
      </c>
      <c r="K48" s="275"/>
      <c r="L48" s="274">
        <f>SUM(L42:L47)</f>
        <v>0</v>
      </c>
      <c r="M48" s="275"/>
      <c r="N48" s="274">
        <f>SUM(N42:N47)</f>
        <v>0</v>
      </c>
      <c r="O48" s="275"/>
      <c r="P48" s="274">
        <f>SUM(P42:P47)</f>
        <v>0</v>
      </c>
      <c r="Q48" s="275"/>
      <c r="R48" s="274">
        <f>SUM(R42:R47)</f>
        <v>0</v>
      </c>
      <c r="S48" s="275"/>
      <c r="T48" s="274">
        <f>SUM(T42:T47)</f>
        <v>0</v>
      </c>
      <c r="U48" s="275"/>
      <c r="V48" s="274">
        <f>SUM(V42:V47)</f>
        <v>0</v>
      </c>
      <c r="W48" s="275"/>
      <c r="X48" s="274">
        <f>SUM(X42:X47)</f>
        <v>0</v>
      </c>
      <c r="Y48" s="275"/>
      <c r="Z48" s="275"/>
      <c r="AA48" s="274">
        <f>SUM(AA42:AA47)</f>
        <v>0</v>
      </c>
      <c r="AB48" s="275"/>
      <c r="AC48" s="274">
        <f>SUM(AC42:AC47)</f>
        <v>0</v>
      </c>
      <c r="AD48" s="274">
        <f>SUM(AD42:AD47)</f>
        <v>0</v>
      </c>
      <c r="AE48" s="275"/>
      <c r="AF48" s="274">
        <f>SUM(AF42:AF47)</f>
        <v>0</v>
      </c>
      <c r="AG48" s="275"/>
      <c r="AH48" s="274">
        <f>SUM(AH42:AH47)</f>
        <v>0</v>
      </c>
      <c r="AI48" s="275"/>
      <c r="AJ48" s="274">
        <f>SUM(AJ42:AJ47)</f>
        <v>0</v>
      </c>
      <c r="AK48" s="275"/>
      <c r="AL48" s="274">
        <f>SUM(AL42:AL47)</f>
        <v>0</v>
      </c>
      <c r="AM48" s="275"/>
      <c r="AN48" s="274">
        <f>SUM(AN42:AN47)</f>
        <v>0</v>
      </c>
      <c r="AO48" s="275"/>
      <c r="AP48" s="274">
        <f>SUM(AP42:AP47)</f>
        <v>0</v>
      </c>
      <c r="AQ48" s="275"/>
      <c r="AR48" s="274">
        <f>SUM(AR42:AR47)</f>
        <v>0</v>
      </c>
      <c r="AS48" s="275"/>
      <c r="AT48" s="275"/>
      <c r="AU48" s="274">
        <f>SUM(AU42:AU47)</f>
        <v>0</v>
      </c>
      <c r="AV48" s="275"/>
      <c r="AW48" s="274">
        <f>SUM(AW42:AW47)</f>
        <v>0</v>
      </c>
      <c r="AX48" s="275"/>
      <c r="AY48" s="274">
        <f>SUM(AY42:AY47)</f>
        <v>0</v>
      </c>
      <c r="AZ48" s="275"/>
      <c r="BA48" s="274">
        <f>SUM(BA42:BA47)</f>
        <v>0</v>
      </c>
      <c r="BB48" s="275"/>
      <c r="BC48" s="274">
        <f>SUM(BC42:BC47)</f>
        <v>0</v>
      </c>
      <c r="BD48" s="275"/>
      <c r="BE48" s="274">
        <f>SUM(BE42:BE47)</f>
        <v>0</v>
      </c>
      <c r="BF48" s="275"/>
      <c r="BG48" s="274">
        <f>SUM(BG42:BG47)</f>
        <v>0</v>
      </c>
      <c r="BH48" s="275"/>
      <c r="BI48" s="274">
        <f t="shared" si="3"/>
        <v>0</v>
      </c>
      <c r="BJ48" s="275"/>
      <c r="BK48" s="276"/>
      <c r="BL48" s="276"/>
      <c r="BM48" s="270"/>
    </row>
    <row r="49" spans="1:65" s="282" customFormat="1" ht="18" x14ac:dyDescent="0.25">
      <c r="A49" s="246"/>
      <c r="B49" s="262"/>
      <c r="C49" s="268"/>
      <c r="D49" s="264"/>
      <c r="E49" s="265"/>
      <c r="F49" s="264"/>
      <c r="G49" s="265"/>
      <c r="H49" s="264"/>
      <c r="I49" s="265"/>
      <c r="J49" s="264"/>
      <c r="K49" s="265"/>
      <c r="L49" s="281"/>
      <c r="M49" s="265"/>
      <c r="N49" s="264"/>
      <c r="O49" s="265"/>
      <c r="P49" s="264"/>
      <c r="Q49" s="265"/>
      <c r="R49" s="264"/>
      <c r="S49" s="265"/>
      <c r="T49" s="264"/>
      <c r="U49" s="265"/>
      <c r="V49" s="264"/>
      <c r="W49" s="265"/>
      <c r="X49" s="264"/>
      <c r="Y49" s="265"/>
      <c r="Z49" s="265"/>
      <c r="AA49" s="264"/>
      <c r="AB49" s="265"/>
      <c r="AC49" s="264"/>
      <c r="AD49" s="264"/>
      <c r="AE49" s="265"/>
      <c r="AF49" s="264"/>
      <c r="AG49" s="265"/>
      <c r="AH49" s="264"/>
      <c r="AI49" s="265"/>
      <c r="AJ49" s="264"/>
      <c r="AK49" s="265"/>
      <c r="AL49" s="264"/>
      <c r="AM49" s="265"/>
      <c r="AN49" s="264"/>
      <c r="AO49" s="265"/>
      <c r="AP49" s="264"/>
      <c r="AQ49" s="265"/>
      <c r="AR49" s="264"/>
      <c r="AS49" s="265"/>
      <c r="AT49" s="265"/>
      <c r="AU49" s="264"/>
      <c r="AV49" s="265"/>
      <c r="AW49" s="264"/>
      <c r="AX49" s="265"/>
      <c r="AY49" s="264"/>
      <c r="AZ49" s="265"/>
      <c r="BA49" s="264"/>
      <c r="BB49" s="265"/>
      <c r="BC49" s="264"/>
      <c r="BD49" s="265"/>
      <c r="BE49" s="264"/>
      <c r="BF49" s="265"/>
      <c r="BG49" s="264"/>
      <c r="BH49" s="265"/>
      <c r="BI49" s="270"/>
      <c r="BJ49" s="268"/>
      <c r="BK49" s="269"/>
      <c r="BL49" s="269"/>
      <c r="BM49" s="270"/>
    </row>
    <row r="50" spans="1:65" s="282" customFormat="1" ht="18" x14ac:dyDescent="0.25">
      <c r="A50" s="246" t="s">
        <v>906</v>
      </c>
      <c r="B50" s="262"/>
      <c r="C50" s="268"/>
      <c r="D50" s="264"/>
      <c r="E50" s="265"/>
      <c r="F50" s="264"/>
      <c r="G50" s="265"/>
      <c r="H50" s="264"/>
      <c r="I50" s="265"/>
      <c r="J50" s="264"/>
      <c r="K50" s="265"/>
      <c r="L50" s="281"/>
      <c r="M50" s="265"/>
      <c r="N50" s="264"/>
      <c r="O50" s="265"/>
      <c r="P50" s="264"/>
      <c r="Q50" s="265"/>
      <c r="R50" s="264"/>
      <c r="S50" s="265"/>
      <c r="T50" s="264"/>
      <c r="U50" s="265"/>
      <c r="V50" s="264"/>
      <c r="W50" s="265"/>
      <c r="X50" s="264"/>
      <c r="Y50" s="265"/>
      <c r="Z50" s="265"/>
      <c r="AA50" s="264"/>
      <c r="AB50" s="265"/>
      <c r="AC50" s="264"/>
      <c r="AD50" s="264"/>
      <c r="AE50" s="265"/>
      <c r="AF50" s="264"/>
      <c r="AG50" s="265"/>
      <c r="AH50" s="264"/>
      <c r="AI50" s="265"/>
      <c r="AJ50" s="264"/>
      <c r="AK50" s="265"/>
      <c r="AL50" s="264"/>
      <c r="AM50" s="265"/>
      <c r="AN50" s="264"/>
      <c r="AO50" s="265"/>
      <c r="AP50" s="264"/>
      <c r="AQ50" s="265"/>
      <c r="AR50" s="264"/>
      <c r="AS50" s="265"/>
      <c r="AT50" s="265"/>
      <c r="AU50" s="264"/>
      <c r="AV50" s="265"/>
      <c r="AW50" s="264"/>
      <c r="AX50" s="265"/>
      <c r="AY50" s="264"/>
      <c r="AZ50" s="265"/>
      <c r="BA50" s="264"/>
      <c r="BB50" s="265"/>
      <c r="BC50" s="264"/>
      <c r="BD50" s="265"/>
      <c r="BE50" s="264"/>
      <c r="BF50" s="265"/>
      <c r="BG50" s="264"/>
      <c r="BH50" s="265"/>
      <c r="BI50" s="270"/>
      <c r="BJ50" s="268"/>
      <c r="BK50" s="269"/>
      <c r="BL50" s="269"/>
      <c r="BM50" s="270"/>
    </row>
    <row r="51" spans="1:65" s="282" customFormat="1" ht="18" x14ac:dyDescent="0.25">
      <c r="A51" s="246" t="s">
        <v>23</v>
      </c>
      <c r="B51" s="283" t="s">
        <v>1577</v>
      </c>
      <c r="C51" s="268"/>
      <c r="D51" s="264">
        <f>SUM(GenFundExp2!I47+GenFundExp2!I48+GenFundExp2!I84+GenFundExp2!I85)</f>
        <v>0</v>
      </c>
      <c r="E51" s="265"/>
      <c r="F51" s="264">
        <f>SUM(CharterFundExp2!I47+CharterFundExp2!I48+CharterFundExp2!I84+CharterFundExp2!I85)</f>
        <v>0</v>
      </c>
      <c r="G51" s="265"/>
      <c r="H51" s="264"/>
      <c r="I51" s="265"/>
      <c r="J51" s="264"/>
      <c r="K51" s="265"/>
      <c r="L51" s="281"/>
      <c r="M51" s="265"/>
      <c r="N51" s="264"/>
      <c r="O51" s="265"/>
      <c r="P51" s="264"/>
      <c r="Q51" s="265"/>
      <c r="R51" s="264"/>
      <c r="S51" s="265"/>
      <c r="T51" s="264"/>
      <c r="U51" s="265"/>
      <c r="V51" s="264"/>
      <c r="W51" s="265"/>
      <c r="X51" s="264"/>
      <c r="Y51" s="265"/>
      <c r="Z51" s="265"/>
      <c r="AA51" s="264"/>
      <c r="AB51" s="265"/>
      <c r="AC51" s="264"/>
      <c r="AD51" s="264"/>
      <c r="AE51" s="265"/>
      <c r="AF51" s="264"/>
      <c r="AG51" s="265"/>
      <c r="AH51" s="264"/>
      <c r="AI51" s="265"/>
      <c r="AJ51" s="264"/>
      <c r="AK51" s="265"/>
      <c r="AL51" s="264"/>
      <c r="AM51" s="265"/>
      <c r="AN51" s="264"/>
      <c r="AO51" s="265"/>
      <c r="AP51" s="264"/>
      <c r="AQ51" s="265"/>
      <c r="AR51" s="264"/>
      <c r="AS51" s="265"/>
      <c r="AT51" s="265"/>
      <c r="AU51" s="264"/>
      <c r="AV51" s="265"/>
      <c r="AW51" s="264"/>
      <c r="AX51" s="265"/>
      <c r="AY51" s="264"/>
      <c r="AZ51" s="265"/>
      <c r="BA51" s="264"/>
      <c r="BB51" s="265"/>
      <c r="BC51" s="264"/>
      <c r="BD51" s="265"/>
      <c r="BE51" s="264"/>
      <c r="BF51" s="265"/>
      <c r="BG51" s="264"/>
      <c r="BH51" s="265"/>
      <c r="BI51" s="264">
        <f t="shared" ref="BI51:BI57" si="4">D51+F51+H51+J51+X51+N51+P51+R51+L51+T51+V51+AA51+AC51+AD51+AF51+AH51+AJ51+AL51+AN51+AP51+AR51+AU51+AW51+AY51+BA51+BC51+BE51+BG51</f>
        <v>0</v>
      </c>
      <c r="BJ51" s="268"/>
      <c r="BK51" s="269"/>
      <c r="BL51" s="269"/>
      <c r="BM51" s="270"/>
    </row>
    <row r="52" spans="1:65" s="282" customFormat="1" ht="18" x14ac:dyDescent="0.25">
      <c r="A52" s="246" t="s">
        <v>24</v>
      </c>
      <c r="B52" s="283" t="s">
        <v>1578</v>
      </c>
      <c r="C52" s="268"/>
      <c r="D52" s="264">
        <f>SUM(GenFundExp2!I49+GenFundExp2!I50+GenFundExp2!I86+GenFundExp2!I87)</f>
        <v>0</v>
      </c>
      <c r="E52" s="265"/>
      <c r="F52" s="264">
        <f>SUM(CharterFundExp2!I49+CharterFundExp2!I50+CharterFundExp2!I86+CharterFundExp2!I87)</f>
        <v>0</v>
      </c>
      <c r="G52" s="265"/>
      <c r="H52" s="264"/>
      <c r="I52" s="265"/>
      <c r="J52" s="264"/>
      <c r="K52" s="265"/>
      <c r="L52" s="281"/>
      <c r="M52" s="265"/>
      <c r="N52" s="264"/>
      <c r="O52" s="265"/>
      <c r="P52" s="264"/>
      <c r="Q52" s="265"/>
      <c r="R52" s="264"/>
      <c r="S52" s="265"/>
      <c r="T52" s="264"/>
      <c r="U52" s="265"/>
      <c r="V52" s="264"/>
      <c r="W52" s="265"/>
      <c r="X52" s="264"/>
      <c r="Y52" s="265"/>
      <c r="Z52" s="265"/>
      <c r="AA52" s="264"/>
      <c r="AB52" s="265"/>
      <c r="AC52" s="264"/>
      <c r="AD52" s="264"/>
      <c r="AE52" s="265"/>
      <c r="AF52" s="264"/>
      <c r="AG52" s="265"/>
      <c r="AH52" s="264"/>
      <c r="AI52" s="265"/>
      <c r="AJ52" s="264"/>
      <c r="AK52" s="265"/>
      <c r="AL52" s="264"/>
      <c r="AM52" s="265"/>
      <c r="AN52" s="264"/>
      <c r="AO52" s="265"/>
      <c r="AP52" s="264"/>
      <c r="AQ52" s="265"/>
      <c r="AR52" s="264"/>
      <c r="AS52" s="265"/>
      <c r="AT52" s="265"/>
      <c r="AU52" s="264"/>
      <c r="AV52" s="265"/>
      <c r="AW52" s="264"/>
      <c r="AX52" s="265"/>
      <c r="AY52" s="264"/>
      <c r="AZ52" s="265"/>
      <c r="BA52" s="264"/>
      <c r="BB52" s="265"/>
      <c r="BC52" s="264"/>
      <c r="BD52" s="265"/>
      <c r="BE52" s="264"/>
      <c r="BF52" s="265"/>
      <c r="BG52" s="264"/>
      <c r="BH52" s="265"/>
      <c r="BI52" s="264">
        <f t="shared" si="4"/>
        <v>0</v>
      </c>
      <c r="BJ52" s="268"/>
      <c r="BK52" s="269"/>
      <c r="BL52" s="269"/>
      <c r="BM52" s="270"/>
    </row>
    <row r="53" spans="1:65" s="282" customFormat="1" ht="36" x14ac:dyDescent="0.25">
      <c r="A53" s="246" t="s">
        <v>25</v>
      </c>
      <c r="B53" s="283" t="s">
        <v>897</v>
      </c>
      <c r="C53" s="268"/>
      <c r="D53" s="264">
        <f>SUM(GenFundExp2!I51+GenFundExp2!I52+GenFundExp2!I53+GenFundExp2!I54+GenFundExp2!I55+GenFundExp2!I56+GenFundExp2!I57+GenFundExp2!I58+GenFundExp2!I59+GenFundExp2!I60+GenFundExp2!I61+GenFundExp2!I62+GenFundExp2!I63+GenFundExp2!I64+GenFundExp2!I65+GenFundExp2!I66+GenFundExp2!I67+GenFundExp2!I68+GenFundExp2!I88+GenFundExp2!I89+GenFundExp2!I90+GenFundExp2!I91+GenFundExp2!I92+GenFundExp2!I93+GenFundExp2!I94+GenFundExp2!I95+GenFundExp2!I96+GenFundExp2!I97+GenFundExp2!I98+GenFundExp2!I99+GenFundExp2!I100+GenFundExp2!I101+GenFundExp2!I102+GenFundExp2!I103+GenFundExp2!I104+GenFundExp2!I105)</f>
        <v>0</v>
      </c>
      <c r="E53" s="265"/>
      <c r="F53" s="264">
        <f>SUM(CharterFundExp2!I51+CharterFundExp2!I52+CharterFundExp2!I53+CharterFundExp2!I54+CharterFundExp2!I55+CharterFundExp2!I56+CharterFundExp2!I57+CharterFundExp2!I58+CharterFundExp2!I59+CharterFundExp2!I60+CharterFundExp2!I61+CharterFundExp2!I62+CharterFundExp2!I63+CharterFundExp2!I64+CharterFundExp2!I65+CharterFundExp2!I66+CharterFundExp2!I67+CharterFundExp2!I68+CharterFundExp2!I88+CharterFundExp2!I89+CharterFundExp2!I90+CharterFundExp2!I91+CharterFundExp2!I92+CharterFundExp2!I93+CharterFundExp2!I94+CharterFundExp2!I95+CharterFundExp2!I96+CharterFundExp2!I97+CharterFundExp2!I98+CharterFundExp2!I99+CharterFundExp2!I100+CharterFundExp2!I101+CharterFundExp2!I102+CharterFundExp2!I103+CharterFundExp2!I104+CharterFundExp2!I105)</f>
        <v>0</v>
      </c>
      <c r="G53" s="265"/>
      <c r="H53" s="264"/>
      <c r="I53" s="265"/>
      <c r="J53" s="264"/>
      <c r="K53" s="265"/>
      <c r="L53" s="281"/>
      <c r="M53" s="265"/>
      <c r="N53" s="264"/>
      <c r="O53" s="265"/>
      <c r="P53" s="264"/>
      <c r="Q53" s="265"/>
      <c r="R53" s="264"/>
      <c r="S53" s="265"/>
      <c r="T53" s="264"/>
      <c r="U53" s="265"/>
      <c r="V53" s="264"/>
      <c r="W53" s="265"/>
      <c r="X53" s="264"/>
      <c r="Y53" s="265"/>
      <c r="Z53" s="265"/>
      <c r="AA53" s="264"/>
      <c r="AB53" s="265"/>
      <c r="AC53" s="264"/>
      <c r="AD53" s="264"/>
      <c r="AE53" s="265"/>
      <c r="AF53" s="264"/>
      <c r="AG53" s="265"/>
      <c r="AH53" s="264"/>
      <c r="AI53" s="265"/>
      <c r="AJ53" s="264"/>
      <c r="AK53" s="265"/>
      <c r="AL53" s="264"/>
      <c r="AM53" s="265"/>
      <c r="AN53" s="264"/>
      <c r="AO53" s="265"/>
      <c r="AP53" s="264"/>
      <c r="AQ53" s="265"/>
      <c r="AR53" s="264"/>
      <c r="AS53" s="265"/>
      <c r="AT53" s="265"/>
      <c r="AU53" s="264"/>
      <c r="AV53" s="265"/>
      <c r="AW53" s="264"/>
      <c r="AX53" s="265"/>
      <c r="AY53" s="264"/>
      <c r="AZ53" s="265"/>
      <c r="BA53" s="264"/>
      <c r="BB53" s="265"/>
      <c r="BC53" s="264"/>
      <c r="BD53" s="265"/>
      <c r="BE53" s="264"/>
      <c r="BF53" s="265"/>
      <c r="BG53" s="264"/>
      <c r="BH53" s="265"/>
      <c r="BI53" s="264">
        <f t="shared" si="4"/>
        <v>0</v>
      </c>
      <c r="BJ53" s="268"/>
      <c r="BK53" s="269"/>
      <c r="BL53" s="269"/>
      <c r="BM53" s="270"/>
    </row>
    <row r="54" spans="1:65" s="282" customFormat="1" ht="18" x14ac:dyDescent="0.25">
      <c r="A54" s="246" t="s">
        <v>898</v>
      </c>
      <c r="B54" s="283" t="s">
        <v>1582</v>
      </c>
      <c r="C54" s="268"/>
      <c r="D54" s="264">
        <f>SUM(GenFundExp2!I69+GenFundExp2!I70+GenFundExp2!I106+GenFundExp2!I107)</f>
        <v>0</v>
      </c>
      <c r="E54" s="265"/>
      <c r="F54" s="264">
        <f>SUM(CharterFundExp2!I69+CharterFundExp2!I70+CharterFundExp2!I106+CharterFundExp2!I107)</f>
        <v>0</v>
      </c>
      <c r="G54" s="265"/>
      <c r="H54" s="264"/>
      <c r="I54" s="265"/>
      <c r="J54" s="264"/>
      <c r="K54" s="265"/>
      <c r="L54" s="281"/>
      <c r="M54" s="265"/>
      <c r="N54" s="264"/>
      <c r="O54" s="265"/>
      <c r="P54" s="264"/>
      <c r="Q54" s="265"/>
      <c r="R54" s="264"/>
      <c r="S54" s="265"/>
      <c r="T54" s="264"/>
      <c r="U54" s="265"/>
      <c r="V54" s="264"/>
      <c r="W54" s="265"/>
      <c r="X54" s="264"/>
      <c r="Y54" s="265"/>
      <c r="Z54" s="265"/>
      <c r="AA54" s="264"/>
      <c r="AB54" s="265"/>
      <c r="AC54" s="264"/>
      <c r="AD54" s="264"/>
      <c r="AE54" s="265"/>
      <c r="AF54" s="264"/>
      <c r="AG54" s="265"/>
      <c r="AH54" s="264"/>
      <c r="AI54" s="265"/>
      <c r="AJ54" s="264"/>
      <c r="AK54" s="265"/>
      <c r="AL54" s="264"/>
      <c r="AM54" s="265"/>
      <c r="AN54" s="264"/>
      <c r="AO54" s="265"/>
      <c r="AP54" s="264"/>
      <c r="AQ54" s="265"/>
      <c r="AR54" s="264"/>
      <c r="AS54" s="265"/>
      <c r="AT54" s="265"/>
      <c r="AU54" s="264"/>
      <c r="AV54" s="265"/>
      <c r="AW54" s="264"/>
      <c r="AX54" s="265"/>
      <c r="AY54" s="264"/>
      <c r="AZ54" s="265"/>
      <c r="BA54" s="264"/>
      <c r="BB54" s="265"/>
      <c r="BC54" s="264"/>
      <c r="BD54" s="265"/>
      <c r="BE54" s="264"/>
      <c r="BF54" s="265"/>
      <c r="BG54" s="264"/>
      <c r="BH54" s="265"/>
      <c r="BI54" s="264">
        <f t="shared" si="4"/>
        <v>0</v>
      </c>
      <c r="BJ54" s="268"/>
      <c r="BK54" s="269"/>
      <c r="BL54" s="269"/>
      <c r="BM54" s="270"/>
    </row>
    <row r="55" spans="1:65" s="282" customFormat="1" ht="18" x14ac:dyDescent="0.25">
      <c r="A55" s="246" t="s">
        <v>899</v>
      </c>
      <c r="B55" s="283" t="s">
        <v>1583</v>
      </c>
      <c r="C55" s="268"/>
      <c r="D55" s="264">
        <f>SUM(GenFundExp2!I71+GenFundExp2!I72+GenFundExp2!I73+GenFundExp2!I74+GenFundExp2!I108+GenFundExp2!I109+GenFundExp2!I110+GenFundExp2!I111)</f>
        <v>0</v>
      </c>
      <c r="E55" s="265"/>
      <c r="F55" s="264">
        <f>SUM(CharterFundExp2!I71+CharterFundExp2!I72+CharterFundExp2!I73+CharterFundExp2!I74+CharterFundExp2!I108+CharterFundExp2!I109+CharterFundExp2!I110+CharterFundExp2!I111)</f>
        <v>0</v>
      </c>
      <c r="G55" s="265"/>
      <c r="H55" s="264"/>
      <c r="I55" s="265"/>
      <c r="J55" s="264"/>
      <c r="K55" s="265"/>
      <c r="L55" s="281"/>
      <c r="M55" s="265"/>
      <c r="N55" s="264"/>
      <c r="O55" s="265"/>
      <c r="P55" s="264"/>
      <c r="Q55" s="265"/>
      <c r="R55" s="264"/>
      <c r="S55" s="265"/>
      <c r="T55" s="264"/>
      <c r="U55" s="265"/>
      <c r="V55" s="264"/>
      <c r="W55" s="265"/>
      <c r="X55" s="264"/>
      <c r="Y55" s="265"/>
      <c r="Z55" s="265"/>
      <c r="AA55" s="264"/>
      <c r="AB55" s="265"/>
      <c r="AC55" s="264"/>
      <c r="AD55" s="264"/>
      <c r="AE55" s="265"/>
      <c r="AF55" s="264"/>
      <c r="AG55" s="265"/>
      <c r="AH55" s="264"/>
      <c r="AI55" s="265"/>
      <c r="AJ55" s="264"/>
      <c r="AK55" s="265"/>
      <c r="AL55" s="264"/>
      <c r="AM55" s="265"/>
      <c r="AN55" s="264"/>
      <c r="AO55" s="265"/>
      <c r="AP55" s="264"/>
      <c r="AQ55" s="265"/>
      <c r="AR55" s="264"/>
      <c r="AS55" s="265"/>
      <c r="AT55" s="265"/>
      <c r="AU55" s="264"/>
      <c r="AV55" s="265"/>
      <c r="AW55" s="264"/>
      <c r="AX55" s="265"/>
      <c r="AY55" s="264"/>
      <c r="AZ55" s="265"/>
      <c r="BA55" s="264"/>
      <c r="BB55" s="265"/>
      <c r="BC55" s="264"/>
      <c r="BD55" s="265"/>
      <c r="BE55" s="264"/>
      <c r="BF55" s="265"/>
      <c r="BG55" s="264"/>
      <c r="BH55" s="265"/>
      <c r="BI55" s="264">
        <f t="shared" si="4"/>
        <v>0</v>
      </c>
      <c r="BJ55" s="268"/>
      <c r="BK55" s="269"/>
      <c r="BL55" s="269"/>
      <c r="BM55" s="270"/>
    </row>
    <row r="56" spans="1:65" s="282" customFormat="1" ht="18.75" thickBot="1" x14ac:dyDescent="0.3">
      <c r="A56" s="246" t="s">
        <v>900</v>
      </c>
      <c r="B56" s="283" t="s">
        <v>901</v>
      </c>
      <c r="C56" s="268"/>
      <c r="D56" s="264">
        <f>SUM(GenFundExp2!I75+GenFundExp2!I76+GenFundExp2!I77+GenFundExp2!I78+GenFundExp2!I79+GenFundExp2!I80+GenFundExp2!I112+GenFundExp2!I113+GenFundExp2!I114+GenFundExp2!I115+GenFundExp2!I116+GenFundExp2!I117)</f>
        <v>0</v>
      </c>
      <c r="E56" s="265"/>
      <c r="F56" s="264">
        <f>SUM(CharterFundExp2!I75+CharterFundExp2!I76+CharterFundExp2!I77+CharterFundExp2!I78+CharterFundExp2!I79+CharterFundExp2!I80+CharterFundExp2!I112+CharterFundExp2!I113+CharterFundExp2!I114+CharterFundExp2!I115+CharterFundExp2!I116+CharterFundExp2!I117)</f>
        <v>0</v>
      </c>
      <c r="G56" s="265"/>
      <c r="H56" s="264"/>
      <c r="I56" s="265"/>
      <c r="J56" s="264"/>
      <c r="K56" s="265"/>
      <c r="L56" s="281"/>
      <c r="M56" s="265"/>
      <c r="N56" s="264"/>
      <c r="O56" s="265"/>
      <c r="P56" s="264"/>
      <c r="Q56" s="265"/>
      <c r="R56" s="264"/>
      <c r="S56" s="265"/>
      <c r="T56" s="264"/>
      <c r="U56" s="265"/>
      <c r="V56" s="264"/>
      <c r="W56" s="265"/>
      <c r="X56" s="264"/>
      <c r="Y56" s="265"/>
      <c r="Z56" s="265"/>
      <c r="AA56" s="264"/>
      <c r="AB56" s="265"/>
      <c r="AC56" s="264"/>
      <c r="AD56" s="264"/>
      <c r="AE56" s="265"/>
      <c r="AF56" s="264"/>
      <c r="AG56" s="265"/>
      <c r="AH56" s="264"/>
      <c r="AI56" s="265"/>
      <c r="AJ56" s="264"/>
      <c r="AK56" s="265"/>
      <c r="AL56" s="264"/>
      <c r="AM56" s="265"/>
      <c r="AN56" s="264"/>
      <c r="AO56" s="265"/>
      <c r="AP56" s="264"/>
      <c r="AQ56" s="265"/>
      <c r="AR56" s="264"/>
      <c r="AS56" s="265"/>
      <c r="AT56" s="265"/>
      <c r="AU56" s="264"/>
      <c r="AV56" s="265"/>
      <c r="AW56" s="264"/>
      <c r="AX56" s="265"/>
      <c r="AY56" s="264"/>
      <c r="AZ56" s="265"/>
      <c r="BA56" s="264"/>
      <c r="BB56" s="265"/>
      <c r="BC56" s="264"/>
      <c r="BD56" s="265"/>
      <c r="BE56" s="264"/>
      <c r="BF56" s="265"/>
      <c r="BG56" s="264"/>
      <c r="BH56" s="265"/>
      <c r="BI56" s="264">
        <f t="shared" si="4"/>
        <v>0</v>
      </c>
      <c r="BJ56" s="268"/>
      <c r="BK56" s="269"/>
      <c r="BL56" s="269"/>
      <c r="BM56" s="270"/>
    </row>
    <row r="57" spans="1:65" s="282" customFormat="1" ht="18.75" thickBot="1" x14ac:dyDescent="0.3">
      <c r="A57" s="271" t="s">
        <v>907</v>
      </c>
      <c r="B57" s="279"/>
      <c r="C57" s="275"/>
      <c r="D57" s="274">
        <f>SUM(D51:D56)</f>
        <v>0</v>
      </c>
      <c r="E57" s="275"/>
      <c r="F57" s="274">
        <f>SUM(F51:F56)</f>
        <v>0</v>
      </c>
      <c r="G57" s="275"/>
      <c r="H57" s="274">
        <f>SUM(H51:H56)</f>
        <v>0</v>
      </c>
      <c r="I57" s="275"/>
      <c r="J57" s="274">
        <f>SUM(J51:J56)</f>
        <v>0</v>
      </c>
      <c r="K57" s="275"/>
      <c r="L57" s="274">
        <f>SUM(L51:L56)</f>
        <v>0</v>
      </c>
      <c r="M57" s="275"/>
      <c r="N57" s="274">
        <f>SUM(N51:N56)</f>
        <v>0</v>
      </c>
      <c r="O57" s="275"/>
      <c r="P57" s="274">
        <f>SUM(P51:P56)</f>
        <v>0</v>
      </c>
      <c r="Q57" s="275"/>
      <c r="R57" s="274">
        <f>SUM(R51:R56)</f>
        <v>0</v>
      </c>
      <c r="S57" s="275"/>
      <c r="T57" s="274">
        <f>SUM(T51:T56)</f>
        <v>0</v>
      </c>
      <c r="U57" s="275"/>
      <c r="V57" s="274">
        <f>SUM(V51:V56)</f>
        <v>0</v>
      </c>
      <c r="W57" s="275"/>
      <c r="X57" s="274">
        <f>SUM(X51:X56)</f>
        <v>0</v>
      </c>
      <c r="Y57" s="275"/>
      <c r="Z57" s="275"/>
      <c r="AA57" s="274">
        <f>SUM(AA51:AA56)</f>
        <v>0</v>
      </c>
      <c r="AB57" s="275"/>
      <c r="AC57" s="274">
        <f>SUM(AC51:AC56)</f>
        <v>0</v>
      </c>
      <c r="AD57" s="274">
        <f>SUM(AD51:AD56)</f>
        <v>0</v>
      </c>
      <c r="AE57" s="275"/>
      <c r="AF57" s="274">
        <f>SUM(AF51:AF56)</f>
        <v>0</v>
      </c>
      <c r="AG57" s="275"/>
      <c r="AH57" s="274">
        <f>SUM(AH51:AH56)</f>
        <v>0</v>
      </c>
      <c r="AI57" s="275"/>
      <c r="AJ57" s="274">
        <f>SUM(AJ51:AJ56)</f>
        <v>0</v>
      </c>
      <c r="AK57" s="275"/>
      <c r="AL57" s="274">
        <f>SUM(AL51:AL56)</f>
        <v>0</v>
      </c>
      <c r="AM57" s="275"/>
      <c r="AN57" s="274">
        <f>SUM(AN51:AN56)</f>
        <v>0</v>
      </c>
      <c r="AO57" s="275"/>
      <c r="AP57" s="274">
        <f>SUM(AP51:AP56)</f>
        <v>0</v>
      </c>
      <c r="AQ57" s="275"/>
      <c r="AR57" s="274">
        <f>SUM(AR51:AR56)</f>
        <v>0</v>
      </c>
      <c r="AS57" s="275"/>
      <c r="AT57" s="275"/>
      <c r="AU57" s="274">
        <f>SUM(AU51:AU56)</f>
        <v>0</v>
      </c>
      <c r="AV57" s="275"/>
      <c r="AW57" s="274">
        <f>SUM(AW51:AW56)</f>
        <v>0</v>
      </c>
      <c r="AX57" s="275"/>
      <c r="AY57" s="274">
        <f>SUM(AY51:AY56)</f>
        <v>0</v>
      </c>
      <c r="AZ57" s="275"/>
      <c r="BA57" s="274">
        <f>SUM(BA51:BA56)</f>
        <v>0</v>
      </c>
      <c r="BB57" s="275"/>
      <c r="BC57" s="274">
        <f>SUM(BC51:BC56)</f>
        <v>0</v>
      </c>
      <c r="BD57" s="275"/>
      <c r="BE57" s="274">
        <f>SUM(BE51:BE56)</f>
        <v>0</v>
      </c>
      <c r="BF57" s="275"/>
      <c r="BG57" s="274">
        <f>SUM(BG51:BG56)</f>
        <v>0</v>
      </c>
      <c r="BH57" s="275"/>
      <c r="BI57" s="274">
        <f t="shared" si="4"/>
        <v>0</v>
      </c>
      <c r="BJ57" s="275"/>
      <c r="BK57" s="276"/>
      <c r="BL57" s="276"/>
      <c r="BM57" s="270"/>
    </row>
    <row r="58" spans="1:65" s="282" customFormat="1" ht="18" x14ac:dyDescent="0.25">
      <c r="A58" s="246"/>
      <c r="B58" s="262"/>
      <c r="C58" s="268"/>
      <c r="D58" s="264"/>
      <c r="E58" s="265"/>
      <c r="F58" s="264"/>
      <c r="G58" s="265"/>
      <c r="H58" s="264"/>
      <c r="I58" s="265"/>
      <c r="J58" s="264"/>
      <c r="K58" s="265"/>
      <c r="L58" s="281"/>
      <c r="M58" s="265"/>
      <c r="N58" s="264"/>
      <c r="O58" s="265"/>
      <c r="P58" s="264"/>
      <c r="Q58" s="265"/>
      <c r="R58" s="264"/>
      <c r="S58" s="265"/>
      <c r="T58" s="264"/>
      <c r="U58" s="265"/>
      <c r="V58" s="264"/>
      <c r="W58" s="265"/>
      <c r="X58" s="264"/>
      <c r="Y58" s="265"/>
      <c r="Z58" s="265"/>
      <c r="AA58" s="264"/>
      <c r="AB58" s="265"/>
      <c r="AC58" s="264"/>
      <c r="AD58" s="264"/>
      <c r="AE58" s="265"/>
      <c r="AF58" s="264"/>
      <c r="AG58" s="265"/>
      <c r="AH58" s="264"/>
      <c r="AI58" s="265"/>
      <c r="AJ58" s="264"/>
      <c r="AK58" s="265"/>
      <c r="AL58" s="264"/>
      <c r="AM58" s="265"/>
      <c r="AN58" s="264"/>
      <c r="AO58" s="265"/>
      <c r="AP58" s="264"/>
      <c r="AQ58" s="265"/>
      <c r="AR58" s="264"/>
      <c r="AS58" s="265"/>
      <c r="AT58" s="265"/>
      <c r="AU58" s="264"/>
      <c r="AV58" s="265"/>
      <c r="AW58" s="264"/>
      <c r="AX58" s="265"/>
      <c r="AY58" s="264"/>
      <c r="AZ58" s="265"/>
      <c r="BA58" s="264"/>
      <c r="BB58" s="265"/>
      <c r="BC58" s="264"/>
      <c r="BD58" s="265"/>
      <c r="BE58" s="264"/>
      <c r="BF58" s="265"/>
      <c r="BG58" s="264"/>
      <c r="BH58" s="265"/>
      <c r="BI58" s="270"/>
      <c r="BJ58" s="268"/>
      <c r="BK58" s="269"/>
      <c r="BL58" s="269"/>
      <c r="BM58" s="270"/>
    </row>
    <row r="59" spans="1:65" s="282" customFormat="1" ht="36" x14ac:dyDescent="0.25">
      <c r="A59" s="246" t="s">
        <v>908</v>
      </c>
      <c r="B59" s="262"/>
      <c r="C59" s="268"/>
      <c r="D59" s="264"/>
      <c r="E59" s="265"/>
      <c r="F59" s="264"/>
      <c r="G59" s="265"/>
      <c r="H59" s="264"/>
      <c r="I59" s="265"/>
      <c r="J59" s="264"/>
      <c r="K59" s="265"/>
      <c r="L59" s="281"/>
      <c r="M59" s="265"/>
      <c r="N59" s="264"/>
      <c r="O59" s="265"/>
      <c r="P59" s="264"/>
      <c r="Q59" s="265"/>
      <c r="R59" s="264"/>
      <c r="S59" s="265"/>
      <c r="T59" s="264"/>
      <c r="U59" s="265"/>
      <c r="V59" s="264"/>
      <c r="W59" s="265"/>
      <c r="X59" s="264"/>
      <c r="Y59" s="265"/>
      <c r="Z59" s="265"/>
      <c r="AA59" s="264"/>
      <c r="AB59" s="265"/>
      <c r="AC59" s="264"/>
      <c r="AD59" s="264"/>
      <c r="AE59" s="265"/>
      <c r="AF59" s="264"/>
      <c r="AG59" s="265"/>
      <c r="AH59" s="264"/>
      <c r="AI59" s="265"/>
      <c r="AJ59" s="264"/>
      <c r="AK59" s="265"/>
      <c r="AL59" s="264"/>
      <c r="AM59" s="265"/>
      <c r="AN59" s="264"/>
      <c r="AO59" s="265"/>
      <c r="AP59" s="264"/>
      <c r="AQ59" s="265"/>
      <c r="AR59" s="264"/>
      <c r="AS59" s="265"/>
      <c r="AT59" s="265"/>
      <c r="AU59" s="264"/>
      <c r="AV59" s="265"/>
      <c r="AW59" s="264"/>
      <c r="AX59" s="265"/>
      <c r="AY59" s="264"/>
      <c r="AZ59" s="265"/>
      <c r="BA59" s="264"/>
      <c r="BB59" s="265"/>
      <c r="BC59" s="264"/>
      <c r="BD59" s="265"/>
      <c r="BE59" s="264"/>
      <c r="BF59" s="265"/>
      <c r="BG59" s="264"/>
      <c r="BH59" s="265"/>
      <c r="BI59" s="270"/>
      <c r="BJ59" s="268"/>
      <c r="BK59" s="269"/>
      <c r="BL59" s="269"/>
      <c r="BM59" s="270"/>
    </row>
    <row r="60" spans="1:65" s="282" customFormat="1" ht="18" x14ac:dyDescent="0.25">
      <c r="A60" s="246" t="s">
        <v>23</v>
      </c>
      <c r="B60" s="283" t="s">
        <v>1577</v>
      </c>
      <c r="C60" s="268"/>
      <c r="D60" s="281">
        <f>SUM(GenFundExp2!I121+GenFundExp2!I122)</f>
        <v>0</v>
      </c>
      <c r="E60" s="265"/>
      <c r="F60" s="281">
        <f>SUM(CharterFundExp2!I121+CharterFundExp2!I122)</f>
        <v>0</v>
      </c>
      <c r="G60" s="265"/>
      <c r="H60" s="264"/>
      <c r="I60" s="265"/>
      <c r="J60" s="264"/>
      <c r="K60" s="265"/>
      <c r="L60" s="281"/>
      <c r="M60" s="265"/>
      <c r="N60" s="264"/>
      <c r="O60" s="265"/>
      <c r="P60" s="264"/>
      <c r="Q60" s="265"/>
      <c r="R60" s="264"/>
      <c r="S60" s="265"/>
      <c r="T60" s="264"/>
      <c r="U60" s="265"/>
      <c r="V60" s="264"/>
      <c r="W60" s="265"/>
      <c r="X60" s="264"/>
      <c r="Y60" s="265"/>
      <c r="Z60" s="265"/>
      <c r="AA60" s="264"/>
      <c r="AB60" s="265"/>
      <c r="AC60" s="264"/>
      <c r="AD60" s="264"/>
      <c r="AE60" s="265"/>
      <c r="AF60" s="264"/>
      <c r="AG60" s="265"/>
      <c r="AH60" s="264"/>
      <c r="AI60" s="265"/>
      <c r="AJ60" s="264"/>
      <c r="AK60" s="265"/>
      <c r="AL60" s="264"/>
      <c r="AM60" s="265"/>
      <c r="AN60" s="264"/>
      <c r="AO60" s="265"/>
      <c r="AP60" s="264"/>
      <c r="AQ60" s="265"/>
      <c r="AR60" s="264"/>
      <c r="AS60" s="265"/>
      <c r="AT60" s="265"/>
      <c r="AU60" s="264"/>
      <c r="AV60" s="265"/>
      <c r="AW60" s="264"/>
      <c r="AX60" s="265"/>
      <c r="AY60" s="264"/>
      <c r="AZ60" s="265"/>
      <c r="BA60" s="264"/>
      <c r="BB60" s="265"/>
      <c r="BC60" s="264"/>
      <c r="BD60" s="265"/>
      <c r="BE60" s="264"/>
      <c r="BF60" s="265"/>
      <c r="BG60" s="264"/>
      <c r="BH60" s="265"/>
      <c r="BI60" s="264">
        <f t="shared" ref="BI60:BI66" si="5">D60+F60+H60+J60+X60+N60+P60+R60+L60+T60+V60+AA60+AC60+AD60+AF60+AH60+AJ60+AL60+AN60+AP60+AR60+AU60+AW60+AY60+BA60+BC60+BE60+BG60</f>
        <v>0</v>
      </c>
      <c r="BJ60" s="268"/>
      <c r="BK60" s="269"/>
      <c r="BL60" s="269"/>
      <c r="BM60" s="270"/>
    </row>
    <row r="61" spans="1:65" s="282" customFormat="1" ht="18" x14ac:dyDescent="0.25">
      <c r="A61" s="246" t="s">
        <v>24</v>
      </c>
      <c r="B61" s="283" t="s">
        <v>1578</v>
      </c>
      <c r="C61" s="268"/>
      <c r="D61" s="281">
        <f>SUM(GenFundExp2!I123+GenFundExp2!I124)</f>
        <v>0</v>
      </c>
      <c r="E61" s="265"/>
      <c r="F61" s="281">
        <f>SUM(CharterFundExp2!I123+CharterFundExp2!I124)</f>
        <v>0</v>
      </c>
      <c r="G61" s="265"/>
      <c r="H61" s="264"/>
      <c r="I61" s="265"/>
      <c r="J61" s="264"/>
      <c r="K61" s="265"/>
      <c r="L61" s="281"/>
      <c r="M61" s="265"/>
      <c r="N61" s="264"/>
      <c r="O61" s="265"/>
      <c r="P61" s="264"/>
      <c r="Q61" s="265"/>
      <c r="R61" s="264"/>
      <c r="S61" s="265"/>
      <c r="T61" s="264"/>
      <c r="U61" s="265"/>
      <c r="V61" s="264"/>
      <c r="W61" s="265"/>
      <c r="X61" s="264"/>
      <c r="Y61" s="265"/>
      <c r="Z61" s="265"/>
      <c r="AA61" s="264"/>
      <c r="AB61" s="265"/>
      <c r="AC61" s="264"/>
      <c r="AD61" s="264"/>
      <c r="AE61" s="265"/>
      <c r="AF61" s="264"/>
      <c r="AG61" s="265"/>
      <c r="AH61" s="264"/>
      <c r="AI61" s="265"/>
      <c r="AJ61" s="264"/>
      <c r="AK61" s="265"/>
      <c r="AL61" s="264"/>
      <c r="AM61" s="265"/>
      <c r="AN61" s="264"/>
      <c r="AO61" s="265"/>
      <c r="AP61" s="264"/>
      <c r="AQ61" s="265"/>
      <c r="AR61" s="264"/>
      <c r="AS61" s="265"/>
      <c r="AT61" s="265"/>
      <c r="AU61" s="264"/>
      <c r="AV61" s="265"/>
      <c r="AW61" s="264"/>
      <c r="AX61" s="265"/>
      <c r="AY61" s="264"/>
      <c r="AZ61" s="265"/>
      <c r="BA61" s="264"/>
      <c r="BB61" s="265"/>
      <c r="BC61" s="264"/>
      <c r="BD61" s="265"/>
      <c r="BE61" s="264"/>
      <c r="BF61" s="265"/>
      <c r="BG61" s="264"/>
      <c r="BH61" s="265"/>
      <c r="BI61" s="264">
        <f t="shared" si="5"/>
        <v>0</v>
      </c>
      <c r="BJ61" s="268"/>
      <c r="BK61" s="269"/>
      <c r="BL61" s="269"/>
      <c r="BM61" s="270"/>
    </row>
    <row r="62" spans="1:65" s="282" customFormat="1" ht="36" x14ac:dyDescent="0.25">
      <c r="A62" s="246" t="s">
        <v>25</v>
      </c>
      <c r="B62" s="283" t="s">
        <v>897</v>
      </c>
      <c r="C62" s="268"/>
      <c r="D62" s="281">
        <f>SUM(GenFundExp2!I125:I136)</f>
        <v>0</v>
      </c>
      <c r="E62" s="265"/>
      <c r="F62" s="281">
        <f>SUM(CharterFundExp2!I125:I136)</f>
        <v>0</v>
      </c>
      <c r="G62" s="265"/>
      <c r="H62" s="281"/>
      <c r="I62" s="265"/>
      <c r="J62" s="264"/>
      <c r="K62" s="265"/>
      <c r="L62" s="281"/>
      <c r="M62" s="265"/>
      <c r="N62" s="264"/>
      <c r="O62" s="265"/>
      <c r="P62" s="264"/>
      <c r="Q62" s="265"/>
      <c r="R62" s="264"/>
      <c r="S62" s="265"/>
      <c r="T62" s="264"/>
      <c r="U62" s="265"/>
      <c r="V62" s="264"/>
      <c r="W62" s="265"/>
      <c r="X62" s="264"/>
      <c r="Y62" s="265"/>
      <c r="Z62" s="265"/>
      <c r="AA62" s="264"/>
      <c r="AB62" s="265"/>
      <c r="AC62" s="264"/>
      <c r="AD62" s="264"/>
      <c r="AE62" s="265"/>
      <c r="AF62" s="264"/>
      <c r="AG62" s="265"/>
      <c r="AH62" s="264"/>
      <c r="AI62" s="265"/>
      <c r="AJ62" s="264"/>
      <c r="AK62" s="265"/>
      <c r="AL62" s="264"/>
      <c r="AM62" s="265"/>
      <c r="AN62" s="264"/>
      <c r="AO62" s="265"/>
      <c r="AP62" s="264"/>
      <c r="AQ62" s="265"/>
      <c r="AR62" s="264"/>
      <c r="AS62" s="265"/>
      <c r="AT62" s="265"/>
      <c r="AU62" s="264"/>
      <c r="AV62" s="265"/>
      <c r="AW62" s="264"/>
      <c r="AX62" s="265"/>
      <c r="AY62" s="264"/>
      <c r="AZ62" s="265"/>
      <c r="BA62" s="264"/>
      <c r="BB62" s="265"/>
      <c r="BC62" s="264"/>
      <c r="BD62" s="265"/>
      <c r="BE62" s="264"/>
      <c r="BF62" s="265"/>
      <c r="BG62" s="264"/>
      <c r="BH62" s="265"/>
      <c r="BI62" s="264">
        <f t="shared" si="5"/>
        <v>0</v>
      </c>
      <c r="BJ62" s="268"/>
      <c r="BK62" s="269"/>
      <c r="BL62" s="269"/>
      <c r="BM62" s="270"/>
    </row>
    <row r="63" spans="1:65" s="282" customFormat="1" ht="18" x14ac:dyDescent="0.25">
      <c r="A63" s="246" t="s">
        <v>898</v>
      </c>
      <c r="B63" s="283" t="s">
        <v>1582</v>
      </c>
      <c r="C63" s="268"/>
      <c r="D63" s="281">
        <f>SUM(GenFundExp2!I137:I138)</f>
        <v>0</v>
      </c>
      <c r="E63" s="265"/>
      <c r="F63" s="281">
        <f>SUM(CharterFundExp2!I137:I138)</f>
        <v>0</v>
      </c>
      <c r="G63" s="265"/>
      <c r="H63" s="264"/>
      <c r="I63" s="265"/>
      <c r="J63" s="264"/>
      <c r="K63" s="265"/>
      <c r="L63" s="281"/>
      <c r="M63" s="265"/>
      <c r="N63" s="264"/>
      <c r="O63" s="265"/>
      <c r="P63" s="264"/>
      <c r="Q63" s="265"/>
      <c r="R63" s="264"/>
      <c r="S63" s="265"/>
      <c r="T63" s="264"/>
      <c r="U63" s="265"/>
      <c r="V63" s="264"/>
      <c r="W63" s="265"/>
      <c r="X63" s="264"/>
      <c r="Y63" s="265"/>
      <c r="Z63" s="265"/>
      <c r="AA63" s="264"/>
      <c r="AB63" s="265"/>
      <c r="AC63" s="264"/>
      <c r="AD63" s="264"/>
      <c r="AE63" s="265"/>
      <c r="AF63" s="264"/>
      <c r="AG63" s="265"/>
      <c r="AH63" s="264"/>
      <c r="AI63" s="265"/>
      <c r="AJ63" s="264"/>
      <c r="AK63" s="265"/>
      <c r="AL63" s="264"/>
      <c r="AM63" s="265"/>
      <c r="AN63" s="264"/>
      <c r="AO63" s="265"/>
      <c r="AP63" s="264"/>
      <c r="AQ63" s="265"/>
      <c r="AR63" s="264"/>
      <c r="AS63" s="265"/>
      <c r="AT63" s="265"/>
      <c r="AU63" s="264"/>
      <c r="AV63" s="265"/>
      <c r="AW63" s="264"/>
      <c r="AX63" s="265"/>
      <c r="AY63" s="264"/>
      <c r="AZ63" s="265"/>
      <c r="BA63" s="264"/>
      <c r="BB63" s="265"/>
      <c r="BC63" s="264"/>
      <c r="BD63" s="265"/>
      <c r="BE63" s="264"/>
      <c r="BF63" s="265"/>
      <c r="BG63" s="264"/>
      <c r="BH63" s="265"/>
      <c r="BI63" s="264">
        <f t="shared" si="5"/>
        <v>0</v>
      </c>
      <c r="BJ63" s="268"/>
      <c r="BK63" s="269"/>
      <c r="BL63" s="269"/>
      <c r="BM63" s="270"/>
    </row>
    <row r="64" spans="1:65" s="282" customFormat="1" ht="18" x14ac:dyDescent="0.25">
      <c r="A64" s="246" t="s">
        <v>899</v>
      </c>
      <c r="B64" s="283" t="s">
        <v>1583</v>
      </c>
      <c r="C64" s="268"/>
      <c r="D64" s="281">
        <f>SUM(GenFundExp2!I139:I142)</f>
        <v>0</v>
      </c>
      <c r="E64" s="265"/>
      <c r="F64" s="281">
        <f>SUM(CharterFundExp2!I139:I142)</f>
        <v>0</v>
      </c>
      <c r="G64" s="265"/>
      <c r="H64" s="264"/>
      <c r="I64" s="265"/>
      <c r="J64" s="264"/>
      <c r="K64" s="265"/>
      <c r="L64" s="281"/>
      <c r="M64" s="265"/>
      <c r="N64" s="264"/>
      <c r="O64" s="265"/>
      <c r="P64" s="264"/>
      <c r="Q64" s="265"/>
      <c r="R64" s="264"/>
      <c r="S64" s="265"/>
      <c r="T64" s="264"/>
      <c r="U64" s="265"/>
      <c r="V64" s="264"/>
      <c r="W64" s="265"/>
      <c r="X64" s="264"/>
      <c r="Y64" s="265"/>
      <c r="Z64" s="265"/>
      <c r="AA64" s="264"/>
      <c r="AB64" s="265"/>
      <c r="AC64" s="264"/>
      <c r="AD64" s="264"/>
      <c r="AE64" s="265"/>
      <c r="AF64" s="264"/>
      <c r="AG64" s="265"/>
      <c r="AH64" s="264"/>
      <c r="AI64" s="265"/>
      <c r="AJ64" s="264"/>
      <c r="AK64" s="265"/>
      <c r="AL64" s="264"/>
      <c r="AM64" s="265"/>
      <c r="AN64" s="264"/>
      <c r="AO64" s="265"/>
      <c r="AP64" s="264"/>
      <c r="AQ64" s="265"/>
      <c r="AR64" s="264"/>
      <c r="AS64" s="265"/>
      <c r="AT64" s="265"/>
      <c r="AU64" s="264"/>
      <c r="AV64" s="265"/>
      <c r="AW64" s="264"/>
      <c r="AX64" s="265"/>
      <c r="AY64" s="264"/>
      <c r="AZ64" s="265"/>
      <c r="BA64" s="264"/>
      <c r="BB64" s="265"/>
      <c r="BC64" s="264"/>
      <c r="BD64" s="265"/>
      <c r="BE64" s="264"/>
      <c r="BF64" s="265"/>
      <c r="BG64" s="264"/>
      <c r="BH64" s="265"/>
      <c r="BI64" s="264">
        <f t="shared" si="5"/>
        <v>0</v>
      </c>
      <c r="BJ64" s="268"/>
      <c r="BK64" s="269"/>
      <c r="BL64" s="269"/>
      <c r="BM64" s="270"/>
    </row>
    <row r="65" spans="1:65" s="282" customFormat="1" ht="18.75" thickBot="1" x14ac:dyDescent="0.3">
      <c r="A65" s="246" t="s">
        <v>900</v>
      </c>
      <c r="B65" s="283" t="s">
        <v>901</v>
      </c>
      <c r="C65" s="268"/>
      <c r="D65" s="281">
        <f>SUM(GenFundExp2!I143:I148)</f>
        <v>0</v>
      </c>
      <c r="E65" s="265"/>
      <c r="F65" s="281">
        <f>SUM(CharterFundExp2!I143:I148)</f>
        <v>0</v>
      </c>
      <c r="G65" s="265"/>
      <c r="H65" s="264"/>
      <c r="I65" s="265"/>
      <c r="J65" s="264"/>
      <c r="K65" s="265"/>
      <c r="L65" s="281"/>
      <c r="M65" s="265"/>
      <c r="N65" s="264"/>
      <c r="O65" s="265"/>
      <c r="P65" s="264"/>
      <c r="Q65" s="265"/>
      <c r="R65" s="264"/>
      <c r="S65" s="265"/>
      <c r="T65" s="264"/>
      <c r="U65" s="265"/>
      <c r="V65" s="264"/>
      <c r="W65" s="265"/>
      <c r="X65" s="264"/>
      <c r="Y65" s="265"/>
      <c r="Z65" s="265"/>
      <c r="AA65" s="264"/>
      <c r="AB65" s="265"/>
      <c r="AC65" s="264"/>
      <c r="AD65" s="264"/>
      <c r="AE65" s="265"/>
      <c r="AF65" s="264"/>
      <c r="AG65" s="265"/>
      <c r="AH65" s="264"/>
      <c r="AI65" s="265"/>
      <c r="AJ65" s="264"/>
      <c r="AK65" s="265"/>
      <c r="AL65" s="264"/>
      <c r="AM65" s="265"/>
      <c r="AN65" s="264"/>
      <c r="AO65" s="265"/>
      <c r="AP65" s="264"/>
      <c r="AQ65" s="265"/>
      <c r="AR65" s="264"/>
      <c r="AS65" s="265"/>
      <c r="AT65" s="265"/>
      <c r="AU65" s="264"/>
      <c r="AV65" s="265"/>
      <c r="AW65" s="264"/>
      <c r="AX65" s="265"/>
      <c r="AY65" s="264"/>
      <c r="AZ65" s="265"/>
      <c r="BA65" s="264"/>
      <c r="BB65" s="265"/>
      <c r="BC65" s="264"/>
      <c r="BD65" s="265"/>
      <c r="BE65" s="264"/>
      <c r="BF65" s="265"/>
      <c r="BG65" s="264"/>
      <c r="BH65" s="265"/>
      <c r="BI65" s="264">
        <f t="shared" si="5"/>
        <v>0</v>
      </c>
      <c r="BJ65" s="268"/>
      <c r="BK65" s="269"/>
      <c r="BL65" s="269"/>
      <c r="BM65" s="270"/>
    </row>
    <row r="66" spans="1:65" s="282" customFormat="1" ht="18.75" thickBot="1" x14ac:dyDescent="0.3">
      <c r="A66" s="271" t="s">
        <v>909</v>
      </c>
      <c r="B66" s="279"/>
      <c r="C66" s="275"/>
      <c r="D66" s="274">
        <f>SUM(D60:D65)</f>
        <v>0</v>
      </c>
      <c r="E66" s="275"/>
      <c r="F66" s="274">
        <f>SUM(F60:F65)</f>
        <v>0</v>
      </c>
      <c r="G66" s="275"/>
      <c r="H66" s="274">
        <f>SUM(H60:H65)</f>
        <v>0</v>
      </c>
      <c r="I66" s="275"/>
      <c r="J66" s="274">
        <f>SUM(J60:J65)</f>
        <v>0</v>
      </c>
      <c r="K66" s="275"/>
      <c r="L66" s="274">
        <f>SUM(L60:L65)</f>
        <v>0</v>
      </c>
      <c r="M66" s="275"/>
      <c r="N66" s="274">
        <f>SUM(N60:N65)</f>
        <v>0</v>
      </c>
      <c r="O66" s="275"/>
      <c r="P66" s="274">
        <f>SUM(P60:P65)</f>
        <v>0</v>
      </c>
      <c r="Q66" s="275"/>
      <c r="R66" s="274">
        <f>SUM(R60:R65)</f>
        <v>0</v>
      </c>
      <c r="S66" s="275"/>
      <c r="T66" s="274">
        <f>SUM(T60:T65)</f>
        <v>0</v>
      </c>
      <c r="U66" s="275"/>
      <c r="V66" s="274">
        <f>SUM(V60:V65)</f>
        <v>0</v>
      </c>
      <c r="W66" s="275"/>
      <c r="X66" s="274">
        <f>SUM(X60:X65)</f>
        <v>0</v>
      </c>
      <c r="Y66" s="275"/>
      <c r="Z66" s="275"/>
      <c r="AA66" s="274">
        <f>SUM(AA60:AA65)</f>
        <v>0</v>
      </c>
      <c r="AB66" s="275"/>
      <c r="AC66" s="274">
        <f>SUM(AC60:AC65)</f>
        <v>0</v>
      </c>
      <c r="AD66" s="274">
        <f>SUM(AD60:AD65)</f>
        <v>0</v>
      </c>
      <c r="AE66" s="275"/>
      <c r="AF66" s="274">
        <f>SUM(AF60:AF65)</f>
        <v>0</v>
      </c>
      <c r="AG66" s="275"/>
      <c r="AH66" s="274">
        <f>SUM(AH60:AH65)</f>
        <v>0</v>
      </c>
      <c r="AI66" s="275"/>
      <c r="AJ66" s="274">
        <f>SUM(AJ60:AJ65)</f>
        <v>0</v>
      </c>
      <c r="AK66" s="275"/>
      <c r="AL66" s="274">
        <f>SUM(AL60:AL65)</f>
        <v>0</v>
      </c>
      <c r="AM66" s="275"/>
      <c r="AN66" s="274">
        <f>SUM(AN60:AN65)</f>
        <v>0</v>
      </c>
      <c r="AO66" s="275"/>
      <c r="AP66" s="274">
        <f>SUM(AP60:AP65)</f>
        <v>0</v>
      </c>
      <c r="AQ66" s="275"/>
      <c r="AR66" s="274">
        <f>SUM(AR60:AR65)</f>
        <v>0</v>
      </c>
      <c r="AS66" s="275"/>
      <c r="AT66" s="275"/>
      <c r="AU66" s="274">
        <f>SUM(AU60:AU65)</f>
        <v>0</v>
      </c>
      <c r="AV66" s="275"/>
      <c r="AW66" s="274">
        <f>SUM(AW60:AW65)</f>
        <v>0</v>
      </c>
      <c r="AX66" s="275"/>
      <c r="AY66" s="274">
        <f>SUM(AY60:AY65)</f>
        <v>0</v>
      </c>
      <c r="AZ66" s="275"/>
      <c r="BA66" s="274">
        <f>SUM(BA60:BA65)</f>
        <v>0</v>
      </c>
      <c r="BB66" s="275"/>
      <c r="BC66" s="274">
        <f>SUM(BC60:BC65)</f>
        <v>0</v>
      </c>
      <c r="BD66" s="275"/>
      <c r="BE66" s="274">
        <f>SUM(BE60:BE65)</f>
        <v>0</v>
      </c>
      <c r="BF66" s="275"/>
      <c r="BG66" s="274">
        <f>SUM(BG60:BG65)</f>
        <v>0</v>
      </c>
      <c r="BH66" s="275"/>
      <c r="BI66" s="274">
        <f t="shared" si="5"/>
        <v>0</v>
      </c>
      <c r="BJ66" s="275"/>
      <c r="BK66" s="276"/>
      <c r="BL66" s="276"/>
      <c r="BM66" s="270"/>
    </row>
    <row r="67" spans="1:65" s="282" customFormat="1" ht="18" x14ac:dyDescent="0.25">
      <c r="A67" s="246"/>
      <c r="B67" s="262"/>
      <c r="C67" s="268"/>
      <c r="D67" s="264"/>
      <c r="E67" s="265"/>
      <c r="F67" s="264"/>
      <c r="G67" s="265"/>
      <c r="H67" s="264"/>
      <c r="I67" s="265"/>
      <c r="J67" s="264"/>
      <c r="K67" s="265"/>
      <c r="L67" s="281"/>
      <c r="M67" s="265"/>
      <c r="N67" s="264"/>
      <c r="O67" s="265"/>
      <c r="P67" s="264"/>
      <c r="Q67" s="265"/>
      <c r="R67" s="264"/>
      <c r="S67" s="265"/>
      <c r="T67" s="264"/>
      <c r="U67" s="265"/>
      <c r="V67" s="264"/>
      <c r="W67" s="265"/>
      <c r="X67" s="264"/>
      <c r="Y67" s="265"/>
      <c r="Z67" s="265"/>
      <c r="AA67" s="264"/>
      <c r="AB67" s="265"/>
      <c r="AC67" s="264"/>
      <c r="AD67" s="264"/>
      <c r="AE67" s="265"/>
      <c r="AF67" s="264"/>
      <c r="AG67" s="265"/>
      <c r="AH67" s="264"/>
      <c r="AI67" s="265"/>
      <c r="AJ67" s="264"/>
      <c r="AK67" s="265"/>
      <c r="AL67" s="264"/>
      <c r="AM67" s="265"/>
      <c r="AN67" s="264"/>
      <c r="AO67" s="265"/>
      <c r="AP67" s="264"/>
      <c r="AQ67" s="265"/>
      <c r="AR67" s="264"/>
      <c r="AS67" s="265"/>
      <c r="AT67" s="265"/>
      <c r="AU67" s="264"/>
      <c r="AV67" s="265"/>
      <c r="AW67" s="264"/>
      <c r="AX67" s="265"/>
      <c r="AY67" s="264"/>
      <c r="AZ67" s="265"/>
      <c r="BA67" s="264"/>
      <c r="BB67" s="265"/>
      <c r="BC67" s="264"/>
      <c r="BD67" s="265"/>
      <c r="BE67" s="264"/>
      <c r="BF67" s="265"/>
      <c r="BG67" s="264"/>
      <c r="BH67" s="265"/>
      <c r="BI67" s="270"/>
      <c r="BJ67" s="268"/>
      <c r="BK67" s="269"/>
      <c r="BL67" s="269"/>
      <c r="BM67" s="270"/>
    </row>
    <row r="68" spans="1:65" s="282" customFormat="1" ht="18" x14ac:dyDescent="0.25">
      <c r="A68" s="246" t="s">
        <v>910</v>
      </c>
      <c r="B68" s="262"/>
      <c r="C68" s="268"/>
      <c r="D68" s="264"/>
      <c r="E68" s="265"/>
      <c r="F68" s="264"/>
      <c r="G68" s="265"/>
      <c r="H68" s="264"/>
      <c r="I68" s="265"/>
      <c r="J68" s="264"/>
      <c r="K68" s="265"/>
      <c r="L68" s="281"/>
      <c r="M68" s="265"/>
      <c r="N68" s="264"/>
      <c r="O68" s="265"/>
      <c r="P68" s="264"/>
      <c r="Q68" s="265"/>
      <c r="R68" s="264"/>
      <c r="S68" s="265"/>
      <c r="T68" s="264"/>
      <c r="U68" s="265"/>
      <c r="V68" s="264"/>
      <c r="W68" s="265"/>
      <c r="X68" s="264"/>
      <c r="Y68" s="265"/>
      <c r="Z68" s="265"/>
      <c r="AA68" s="264"/>
      <c r="AB68" s="265"/>
      <c r="AC68" s="264"/>
      <c r="AD68" s="264"/>
      <c r="AE68" s="265"/>
      <c r="AF68" s="264"/>
      <c r="AG68" s="265"/>
      <c r="AH68" s="264"/>
      <c r="AI68" s="265"/>
      <c r="AJ68" s="264"/>
      <c r="AK68" s="265"/>
      <c r="AL68" s="264"/>
      <c r="AM68" s="265"/>
      <c r="AN68" s="264"/>
      <c r="AO68" s="265"/>
      <c r="AP68" s="264"/>
      <c r="AQ68" s="265"/>
      <c r="AR68" s="264"/>
      <c r="AS68" s="265"/>
      <c r="AT68" s="265"/>
      <c r="AU68" s="264"/>
      <c r="AV68" s="265"/>
      <c r="AW68" s="264"/>
      <c r="AX68" s="265"/>
      <c r="AY68" s="264"/>
      <c r="AZ68" s="265"/>
      <c r="BA68" s="264"/>
      <c r="BB68" s="265"/>
      <c r="BC68" s="264"/>
      <c r="BD68" s="265"/>
      <c r="BE68" s="264"/>
      <c r="BF68" s="265"/>
      <c r="BG68" s="264"/>
      <c r="BH68" s="265"/>
      <c r="BI68" s="270"/>
      <c r="BJ68" s="268"/>
      <c r="BK68" s="269"/>
      <c r="BL68" s="269"/>
      <c r="BM68" s="270"/>
    </row>
    <row r="69" spans="1:65" s="282" customFormat="1" ht="18" x14ac:dyDescent="0.25">
      <c r="A69" s="246" t="s">
        <v>23</v>
      </c>
      <c r="B69" s="283" t="s">
        <v>1577</v>
      </c>
      <c r="C69" s="268"/>
      <c r="D69" s="281">
        <f>SUM(GenFundExp2!I152+GenFundExp2!I153)</f>
        <v>0</v>
      </c>
      <c r="E69" s="265"/>
      <c r="F69" s="281">
        <f>SUM(CharterFundExp2!I152+CharterFundExp2!I153)</f>
        <v>0</v>
      </c>
      <c r="G69" s="265"/>
      <c r="H69" s="264"/>
      <c r="I69" s="265"/>
      <c r="J69" s="264"/>
      <c r="K69" s="265"/>
      <c r="L69" s="281"/>
      <c r="M69" s="265"/>
      <c r="N69" s="264"/>
      <c r="O69" s="265"/>
      <c r="P69" s="264"/>
      <c r="Q69" s="265"/>
      <c r="R69" s="264"/>
      <c r="S69" s="265"/>
      <c r="T69" s="264"/>
      <c r="U69" s="265"/>
      <c r="V69" s="264"/>
      <c r="W69" s="265"/>
      <c r="X69" s="264"/>
      <c r="Y69" s="265"/>
      <c r="Z69" s="265"/>
      <c r="AA69" s="264"/>
      <c r="AB69" s="265"/>
      <c r="AC69" s="264"/>
      <c r="AD69" s="264"/>
      <c r="AE69" s="265"/>
      <c r="AF69" s="264"/>
      <c r="AG69" s="265"/>
      <c r="AH69" s="264"/>
      <c r="AI69" s="265"/>
      <c r="AJ69" s="264"/>
      <c r="AK69" s="265"/>
      <c r="AL69" s="264"/>
      <c r="AM69" s="265"/>
      <c r="AN69" s="264"/>
      <c r="AO69" s="265"/>
      <c r="AP69" s="264"/>
      <c r="AQ69" s="265"/>
      <c r="AR69" s="264"/>
      <c r="AS69" s="265"/>
      <c r="AT69" s="265"/>
      <c r="AU69" s="264"/>
      <c r="AV69" s="265"/>
      <c r="AW69" s="264"/>
      <c r="AX69" s="265"/>
      <c r="AY69" s="264"/>
      <c r="AZ69" s="265"/>
      <c r="BA69" s="264"/>
      <c r="BB69" s="265"/>
      <c r="BC69" s="264"/>
      <c r="BD69" s="265"/>
      <c r="BE69" s="264"/>
      <c r="BF69" s="265"/>
      <c r="BG69" s="264"/>
      <c r="BH69" s="265"/>
      <c r="BI69" s="264">
        <f t="shared" ref="BI69:BI75" si="6">D69+F69+H69+J69+X69+N69+P69+R69+L69+T69+V69+AA69+AC69+AD69+AF69+AH69+AJ69+AL69+AN69+AP69+AR69+AU69+AW69+AY69+BA69+BC69+BE69+BG69</f>
        <v>0</v>
      </c>
      <c r="BJ69" s="268"/>
      <c r="BK69" s="269"/>
      <c r="BL69" s="269"/>
      <c r="BM69" s="270"/>
    </row>
    <row r="70" spans="1:65" s="282" customFormat="1" ht="18" x14ac:dyDescent="0.25">
      <c r="A70" s="246" t="s">
        <v>24</v>
      </c>
      <c r="B70" s="283" t="s">
        <v>1578</v>
      </c>
      <c r="C70" s="268"/>
      <c r="D70" s="281">
        <f>SUM(GenFundExp2!I154+GenFundExp2!I155)</f>
        <v>0</v>
      </c>
      <c r="E70" s="265"/>
      <c r="F70" s="281">
        <f>SUM(CharterFundExp2!I154+CharterFundExp2!I155)</f>
        <v>0</v>
      </c>
      <c r="G70" s="265"/>
      <c r="H70" s="264"/>
      <c r="I70" s="265"/>
      <c r="J70" s="264"/>
      <c r="K70" s="265"/>
      <c r="L70" s="281"/>
      <c r="M70" s="265"/>
      <c r="N70" s="264"/>
      <c r="O70" s="265"/>
      <c r="P70" s="264"/>
      <c r="Q70" s="265"/>
      <c r="R70" s="264"/>
      <c r="S70" s="265"/>
      <c r="T70" s="264"/>
      <c r="U70" s="265"/>
      <c r="V70" s="264"/>
      <c r="W70" s="265"/>
      <c r="X70" s="264"/>
      <c r="Y70" s="265"/>
      <c r="Z70" s="265"/>
      <c r="AA70" s="264"/>
      <c r="AB70" s="265"/>
      <c r="AC70" s="264"/>
      <c r="AD70" s="264"/>
      <c r="AE70" s="265"/>
      <c r="AF70" s="264"/>
      <c r="AG70" s="265"/>
      <c r="AH70" s="264"/>
      <c r="AI70" s="265"/>
      <c r="AJ70" s="264"/>
      <c r="AK70" s="265"/>
      <c r="AL70" s="264"/>
      <c r="AM70" s="265"/>
      <c r="AN70" s="264"/>
      <c r="AO70" s="265"/>
      <c r="AP70" s="264"/>
      <c r="AQ70" s="265"/>
      <c r="AR70" s="264"/>
      <c r="AS70" s="265"/>
      <c r="AT70" s="265"/>
      <c r="AU70" s="264"/>
      <c r="AV70" s="265"/>
      <c r="AW70" s="264"/>
      <c r="AX70" s="265"/>
      <c r="AY70" s="264"/>
      <c r="AZ70" s="265"/>
      <c r="BA70" s="264"/>
      <c r="BB70" s="265"/>
      <c r="BC70" s="264"/>
      <c r="BD70" s="265"/>
      <c r="BE70" s="264"/>
      <c r="BF70" s="265"/>
      <c r="BG70" s="264"/>
      <c r="BH70" s="265"/>
      <c r="BI70" s="264">
        <f t="shared" si="6"/>
        <v>0</v>
      </c>
      <c r="BJ70" s="268"/>
      <c r="BK70" s="269"/>
      <c r="BL70" s="269"/>
      <c r="BM70" s="270"/>
    </row>
    <row r="71" spans="1:65" s="282" customFormat="1" ht="36" x14ac:dyDescent="0.25">
      <c r="A71" s="246" t="s">
        <v>25</v>
      </c>
      <c r="B71" s="283" t="s">
        <v>897</v>
      </c>
      <c r="C71" s="268"/>
      <c r="D71" s="281">
        <f>SUM(GenFundExp2!I156:I174)</f>
        <v>0</v>
      </c>
      <c r="E71" s="265"/>
      <c r="F71" s="281">
        <f>SUM(CharterFundExp2!I156:I174)</f>
        <v>0</v>
      </c>
      <c r="G71" s="265"/>
      <c r="H71" s="264"/>
      <c r="I71" s="265"/>
      <c r="J71" s="264"/>
      <c r="K71" s="265"/>
      <c r="L71" s="281"/>
      <c r="M71" s="265"/>
      <c r="N71" s="264"/>
      <c r="O71" s="265"/>
      <c r="P71" s="264"/>
      <c r="Q71" s="265"/>
      <c r="R71" s="264"/>
      <c r="S71" s="265"/>
      <c r="T71" s="264"/>
      <c r="U71" s="265"/>
      <c r="V71" s="264"/>
      <c r="W71" s="265"/>
      <c r="X71" s="264"/>
      <c r="Y71" s="265"/>
      <c r="Z71" s="265"/>
      <c r="AA71" s="264"/>
      <c r="AB71" s="265"/>
      <c r="AC71" s="264"/>
      <c r="AD71" s="264"/>
      <c r="AE71" s="265"/>
      <c r="AF71" s="264"/>
      <c r="AG71" s="265"/>
      <c r="AH71" s="264"/>
      <c r="AI71" s="265"/>
      <c r="AJ71" s="264"/>
      <c r="AK71" s="265"/>
      <c r="AL71" s="264"/>
      <c r="AM71" s="265"/>
      <c r="AN71" s="264"/>
      <c r="AO71" s="265"/>
      <c r="AP71" s="264"/>
      <c r="AQ71" s="265"/>
      <c r="AR71" s="264"/>
      <c r="AS71" s="265"/>
      <c r="AT71" s="265"/>
      <c r="AU71" s="264"/>
      <c r="AV71" s="265"/>
      <c r="AW71" s="264"/>
      <c r="AX71" s="265"/>
      <c r="AY71" s="264"/>
      <c r="AZ71" s="265"/>
      <c r="BA71" s="264"/>
      <c r="BB71" s="265"/>
      <c r="BC71" s="264"/>
      <c r="BD71" s="265"/>
      <c r="BE71" s="264"/>
      <c r="BF71" s="265"/>
      <c r="BG71" s="264"/>
      <c r="BH71" s="265"/>
      <c r="BI71" s="264">
        <f t="shared" si="6"/>
        <v>0</v>
      </c>
      <c r="BJ71" s="268"/>
      <c r="BK71" s="269"/>
      <c r="BL71" s="269"/>
      <c r="BM71" s="270"/>
    </row>
    <row r="72" spans="1:65" s="282" customFormat="1" ht="18" x14ac:dyDescent="0.25">
      <c r="A72" s="246" t="s">
        <v>898</v>
      </c>
      <c r="B72" s="283" t="s">
        <v>1582</v>
      </c>
      <c r="C72" s="268"/>
      <c r="D72" s="281">
        <f>SUM(GenFundExp2!I175:I176)</f>
        <v>0</v>
      </c>
      <c r="E72" s="265"/>
      <c r="F72" s="281">
        <f>SUM(CharterFundExp2!I175:I176)</f>
        <v>0</v>
      </c>
      <c r="G72" s="265"/>
      <c r="H72" s="264"/>
      <c r="I72" s="265"/>
      <c r="J72" s="264"/>
      <c r="K72" s="265"/>
      <c r="L72" s="281"/>
      <c r="M72" s="265"/>
      <c r="N72" s="264"/>
      <c r="O72" s="265"/>
      <c r="P72" s="264"/>
      <c r="Q72" s="265"/>
      <c r="R72" s="264"/>
      <c r="S72" s="265"/>
      <c r="T72" s="264"/>
      <c r="U72" s="265"/>
      <c r="V72" s="264"/>
      <c r="W72" s="265"/>
      <c r="X72" s="264"/>
      <c r="Y72" s="265"/>
      <c r="Z72" s="265"/>
      <c r="AA72" s="264"/>
      <c r="AB72" s="265"/>
      <c r="AC72" s="264"/>
      <c r="AD72" s="264"/>
      <c r="AE72" s="265"/>
      <c r="AF72" s="264"/>
      <c r="AG72" s="265"/>
      <c r="AH72" s="264"/>
      <c r="AI72" s="265"/>
      <c r="AJ72" s="264"/>
      <c r="AK72" s="265"/>
      <c r="AL72" s="264"/>
      <c r="AM72" s="265"/>
      <c r="AN72" s="264"/>
      <c r="AO72" s="265"/>
      <c r="AP72" s="264"/>
      <c r="AQ72" s="265"/>
      <c r="AR72" s="264"/>
      <c r="AS72" s="265"/>
      <c r="AT72" s="265"/>
      <c r="AU72" s="264"/>
      <c r="AV72" s="265"/>
      <c r="AW72" s="264"/>
      <c r="AX72" s="265"/>
      <c r="AY72" s="264"/>
      <c r="AZ72" s="265"/>
      <c r="BA72" s="264"/>
      <c r="BB72" s="265"/>
      <c r="BC72" s="264"/>
      <c r="BD72" s="265"/>
      <c r="BE72" s="264"/>
      <c r="BF72" s="265"/>
      <c r="BG72" s="264"/>
      <c r="BH72" s="265"/>
      <c r="BI72" s="264">
        <f t="shared" si="6"/>
        <v>0</v>
      </c>
      <c r="BJ72" s="268"/>
      <c r="BK72" s="269"/>
      <c r="BL72" s="269"/>
      <c r="BM72" s="270"/>
    </row>
    <row r="73" spans="1:65" s="282" customFormat="1" ht="18" x14ac:dyDescent="0.25">
      <c r="A73" s="246" t="s">
        <v>911</v>
      </c>
      <c r="B73" s="283" t="s">
        <v>1583</v>
      </c>
      <c r="C73" s="268"/>
      <c r="D73" s="281">
        <f>SUM(GenFundExp2!I177:I180)</f>
        <v>0</v>
      </c>
      <c r="E73" s="265"/>
      <c r="F73" s="281">
        <f>SUM(CharterFundExp2!I177:I180)</f>
        <v>0</v>
      </c>
      <c r="G73" s="265"/>
      <c r="H73" s="264"/>
      <c r="I73" s="265"/>
      <c r="J73" s="264"/>
      <c r="K73" s="265"/>
      <c r="L73" s="281"/>
      <c r="M73" s="265"/>
      <c r="N73" s="264"/>
      <c r="O73" s="265"/>
      <c r="P73" s="264"/>
      <c r="Q73" s="265"/>
      <c r="R73" s="264"/>
      <c r="S73" s="265"/>
      <c r="T73" s="264"/>
      <c r="U73" s="265"/>
      <c r="V73" s="264"/>
      <c r="W73" s="265"/>
      <c r="X73" s="264"/>
      <c r="Y73" s="265"/>
      <c r="Z73" s="265"/>
      <c r="AA73" s="264"/>
      <c r="AB73" s="265"/>
      <c r="AC73" s="264"/>
      <c r="AD73" s="264"/>
      <c r="AE73" s="265"/>
      <c r="AF73" s="264"/>
      <c r="AG73" s="265"/>
      <c r="AH73" s="264"/>
      <c r="AI73" s="265"/>
      <c r="AJ73" s="264"/>
      <c r="AK73" s="265"/>
      <c r="AL73" s="264"/>
      <c r="AM73" s="265"/>
      <c r="AN73" s="264"/>
      <c r="AO73" s="265"/>
      <c r="AP73" s="264"/>
      <c r="AQ73" s="265"/>
      <c r="AR73" s="264"/>
      <c r="AS73" s="265"/>
      <c r="AT73" s="265"/>
      <c r="AU73" s="264"/>
      <c r="AV73" s="265"/>
      <c r="AW73" s="264"/>
      <c r="AX73" s="265"/>
      <c r="AY73" s="264"/>
      <c r="AZ73" s="265"/>
      <c r="BA73" s="264"/>
      <c r="BB73" s="265"/>
      <c r="BC73" s="264"/>
      <c r="BD73" s="265"/>
      <c r="BE73" s="264"/>
      <c r="BF73" s="265"/>
      <c r="BG73" s="264"/>
      <c r="BH73" s="265"/>
      <c r="BI73" s="264">
        <f t="shared" si="6"/>
        <v>0</v>
      </c>
      <c r="BJ73" s="268"/>
      <c r="BK73" s="269"/>
      <c r="BL73" s="269"/>
      <c r="BM73" s="270"/>
    </row>
    <row r="74" spans="1:65" s="282" customFormat="1" ht="18.75" thickBot="1" x14ac:dyDescent="0.3">
      <c r="A74" s="246" t="s">
        <v>900</v>
      </c>
      <c r="B74" s="283" t="s">
        <v>901</v>
      </c>
      <c r="C74" s="268"/>
      <c r="D74" s="281">
        <f>SUM(GenFundExp2!I181:I186)</f>
        <v>0</v>
      </c>
      <c r="E74" s="265"/>
      <c r="F74" s="281">
        <f>SUM(CharterFundExp2!I181:I186)</f>
        <v>0</v>
      </c>
      <c r="G74" s="265"/>
      <c r="H74" s="264"/>
      <c r="I74" s="265"/>
      <c r="J74" s="264"/>
      <c r="K74" s="265"/>
      <c r="L74" s="281"/>
      <c r="M74" s="265"/>
      <c r="N74" s="264"/>
      <c r="O74" s="265"/>
      <c r="P74" s="264"/>
      <c r="Q74" s="265"/>
      <c r="R74" s="264"/>
      <c r="S74" s="265"/>
      <c r="T74" s="264"/>
      <c r="U74" s="265"/>
      <c r="V74" s="264"/>
      <c r="W74" s="265"/>
      <c r="X74" s="264"/>
      <c r="Y74" s="265"/>
      <c r="Z74" s="265"/>
      <c r="AA74" s="264"/>
      <c r="AB74" s="265"/>
      <c r="AC74" s="264"/>
      <c r="AD74" s="264"/>
      <c r="AE74" s="265"/>
      <c r="AF74" s="264"/>
      <c r="AG74" s="265"/>
      <c r="AH74" s="264"/>
      <c r="AI74" s="265"/>
      <c r="AJ74" s="264"/>
      <c r="AK74" s="265"/>
      <c r="AL74" s="264"/>
      <c r="AM74" s="265"/>
      <c r="AN74" s="264"/>
      <c r="AO74" s="265"/>
      <c r="AP74" s="264"/>
      <c r="AQ74" s="265"/>
      <c r="AR74" s="264"/>
      <c r="AS74" s="265"/>
      <c r="AT74" s="265"/>
      <c r="AU74" s="264"/>
      <c r="AV74" s="265"/>
      <c r="AW74" s="264"/>
      <c r="AX74" s="265"/>
      <c r="AY74" s="264"/>
      <c r="AZ74" s="265"/>
      <c r="BA74" s="264"/>
      <c r="BB74" s="265"/>
      <c r="BC74" s="264"/>
      <c r="BD74" s="265"/>
      <c r="BE74" s="264"/>
      <c r="BF74" s="265"/>
      <c r="BG74" s="264"/>
      <c r="BH74" s="265"/>
      <c r="BI74" s="264">
        <f t="shared" si="6"/>
        <v>0</v>
      </c>
      <c r="BJ74" s="268"/>
      <c r="BK74" s="269"/>
      <c r="BL74" s="269"/>
      <c r="BM74" s="270"/>
    </row>
    <row r="75" spans="1:65" s="282" customFormat="1" ht="18.75" thickBot="1" x14ac:dyDescent="0.3">
      <c r="A75" s="271" t="s">
        <v>909</v>
      </c>
      <c r="B75" s="279"/>
      <c r="C75" s="275"/>
      <c r="D75" s="274">
        <f>SUM(D69:D74)</f>
        <v>0</v>
      </c>
      <c r="E75" s="275"/>
      <c r="F75" s="274">
        <f>SUM(F69:F74)</f>
        <v>0</v>
      </c>
      <c r="G75" s="275"/>
      <c r="H75" s="274">
        <f>SUM(H69:H74)</f>
        <v>0</v>
      </c>
      <c r="I75" s="275"/>
      <c r="J75" s="274">
        <f>SUM(J69:J74)</f>
        <v>0</v>
      </c>
      <c r="K75" s="275"/>
      <c r="L75" s="274">
        <f>SUM(L69:L74)</f>
        <v>0</v>
      </c>
      <c r="M75" s="275"/>
      <c r="N75" s="274">
        <f>SUM(N69:N74)</f>
        <v>0</v>
      </c>
      <c r="O75" s="275"/>
      <c r="P75" s="274">
        <f>SUM(P69:P74)</f>
        <v>0</v>
      </c>
      <c r="Q75" s="275"/>
      <c r="R75" s="274">
        <f>SUM(R69:R74)</f>
        <v>0</v>
      </c>
      <c r="S75" s="275"/>
      <c r="T75" s="274">
        <f>SUM(T69:T74)</f>
        <v>0</v>
      </c>
      <c r="U75" s="275"/>
      <c r="V75" s="274">
        <f>SUM(V69:V74)</f>
        <v>0</v>
      </c>
      <c r="W75" s="275"/>
      <c r="X75" s="274">
        <f>SUM(X69:X74)</f>
        <v>0</v>
      </c>
      <c r="Y75" s="275"/>
      <c r="Z75" s="275"/>
      <c r="AA75" s="274">
        <f>SUM(AA69:AA74)</f>
        <v>0</v>
      </c>
      <c r="AB75" s="275"/>
      <c r="AC75" s="274">
        <f>SUM(AC69:AC74)</f>
        <v>0</v>
      </c>
      <c r="AD75" s="274">
        <f>SUM(AD69:AD74)</f>
        <v>0</v>
      </c>
      <c r="AE75" s="275"/>
      <c r="AF75" s="274">
        <f>SUM(AF69:AF74)</f>
        <v>0</v>
      </c>
      <c r="AG75" s="275"/>
      <c r="AH75" s="274">
        <f>SUM(AH69:AH74)</f>
        <v>0</v>
      </c>
      <c r="AI75" s="275"/>
      <c r="AJ75" s="274">
        <f>SUM(AJ69:AJ74)</f>
        <v>0</v>
      </c>
      <c r="AK75" s="275"/>
      <c r="AL75" s="274">
        <f>SUM(AL69:AL74)</f>
        <v>0</v>
      </c>
      <c r="AM75" s="275"/>
      <c r="AN75" s="274">
        <f>SUM(AN69:AN74)</f>
        <v>0</v>
      </c>
      <c r="AO75" s="275"/>
      <c r="AP75" s="274">
        <f>SUM(AP69:AP74)</f>
        <v>0</v>
      </c>
      <c r="AQ75" s="275"/>
      <c r="AR75" s="274">
        <f>SUM(AR69:AR74)</f>
        <v>0</v>
      </c>
      <c r="AS75" s="275"/>
      <c r="AT75" s="275"/>
      <c r="AU75" s="274">
        <f>SUM(AU69:AU74)</f>
        <v>0</v>
      </c>
      <c r="AV75" s="275"/>
      <c r="AW75" s="274">
        <f>SUM(AW69:AW74)</f>
        <v>0</v>
      </c>
      <c r="AX75" s="275"/>
      <c r="AY75" s="274">
        <f>SUM(AY69:AY74)</f>
        <v>0</v>
      </c>
      <c r="AZ75" s="275"/>
      <c r="BA75" s="274">
        <f>SUM(BA69:BA74)</f>
        <v>0</v>
      </c>
      <c r="BB75" s="275"/>
      <c r="BC75" s="274">
        <f>SUM(BC69:BC74)</f>
        <v>0</v>
      </c>
      <c r="BD75" s="275"/>
      <c r="BE75" s="274">
        <f>SUM(BE69:BE74)</f>
        <v>0</v>
      </c>
      <c r="BF75" s="275"/>
      <c r="BG75" s="274">
        <f>SUM(BG69:BG74)</f>
        <v>0</v>
      </c>
      <c r="BH75" s="275"/>
      <c r="BI75" s="274">
        <f t="shared" si="6"/>
        <v>0</v>
      </c>
      <c r="BJ75" s="275"/>
      <c r="BK75" s="276"/>
      <c r="BL75" s="276"/>
      <c r="BM75" s="270"/>
    </row>
    <row r="76" spans="1:65" s="282" customFormat="1" ht="18" x14ac:dyDescent="0.25">
      <c r="A76" s="246"/>
      <c r="B76" s="262"/>
      <c r="C76" s="268"/>
      <c r="D76" s="264"/>
      <c r="E76" s="265"/>
      <c r="F76" s="264"/>
      <c r="G76" s="265"/>
      <c r="H76" s="264"/>
      <c r="I76" s="265"/>
      <c r="J76" s="264"/>
      <c r="K76" s="265"/>
      <c r="L76" s="281"/>
      <c r="M76" s="265"/>
      <c r="N76" s="264"/>
      <c r="O76" s="265"/>
      <c r="P76" s="264"/>
      <c r="Q76" s="265"/>
      <c r="R76" s="264"/>
      <c r="S76" s="265"/>
      <c r="T76" s="264"/>
      <c r="U76" s="265"/>
      <c r="V76" s="264"/>
      <c r="W76" s="265"/>
      <c r="X76" s="264"/>
      <c r="Y76" s="265"/>
      <c r="Z76" s="265"/>
      <c r="AA76" s="264"/>
      <c r="AB76" s="265"/>
      <c r="AC76" s="264"/>
      <c r="AD76" s="264"/>
      <c r="AE76" s="265"/>
      <c r="AF76" s="264"/>
      <c r="AG76" s="265"/>
      <c r="AH76" s="264"/>
      <c r="AI76" s="265"/>
      <c r="AJ76" s="264"/>
      <c r="AK76" s="265"/>
      <c r="AL76" s="264"/>
      <c r="AM76" s="265"/>
      <c r="AN76" s="264"/>
      <c r="AO76" s="265"/>
      <c r="AP76" s="264"/>
      <c r="AQ76" s="265"/>
      <c r="AR76" s="264"/>
      <c r="AS76" s="265"/>
      <c r="AT76" s="265"/>
      <c r="AU76" s="264"/>
      <c r="AV76" s="265"/>
      <c r="AW76" s="264"/>
      <c r="AX76" s="265"/>
      <c r="AY76" s="264"/>
      <c r="AZ76" s="265"/>
      <c r="BA76" s="264"/>
      <c r="BB76" s="265"/>
      <c r="BC76" s="264"/>
      <c r="BD76" s="265"/>
      <c r="BE76" s="264"/>
      <c r="BF76" s="265"/>
      <c r="BG76" s="264"/>
      <c r="BH76" s="265"/>
      <c r="BI76" s="270"/>
      <c r="BJ76" s="268"/>
      <c r="BK76" s="269"/>
      <c r="BL76" s="269"/>
      <c r="BM76" s="270"/>
    </row>
    <row r="77" spans="1:65" s="282" customFormat="1" ht="18" x14ac:dyDescent="0.25">
      <c r="A77" s="246" t="s">
        <v>912</v>
      </c>
      <c r="B77" s="262"/>
      <c r="C77" s="268"/>
      <c r="D77" s="264"/>
      <c r="E77" s="265"/>
      <c r="F77" s="264"/>
      <c r="G77" s="265"/>
      <c r="H77" s="264"/>
      <c r="I77" s="265"/>
      <c r="J77" s="264"/>
      <c r="K77" s="265"/>
      <c r="L77" s="281"/>
      <c r="M77" s="265"/>
      <c r="N77" s="264"/>
      <c r="O77" s="265"/>
      <c r="P77" s="264"/>
      <c r="Q77" s="265"/>
      <c r="R77" s="264"/>
      <c r="S77" s="265"/>
      <c r="T77" s="264"/>
      <c r="U77" s="265"/>
      <c r="V77" s="264"/>
      <c r="W77" s="265"/>
      <c r="X77" s="264"/>
      <c r="Y77" s="265"/>
      <c r="Z77" s="265"/>
      <c r="AA77" s="264"/>
      <c r="AB77" s="265"/>
      <c r="AC77" s="264"/>
      <c r="AD77" s="264"/>
      <c r="AE77" s="265"/>
      <c r="AF77" s="264"/>
      <c r="AG77" s="265"/>
      <c r="AH77" s="264"/>
      <c r="AI77" s="265"/>
      <c r="AJ77" s="264"/>
      <c r="AK77" s="265"/>
      <c r="AL77" s="264"/>
      <c r="AM77" s="265"/>
      <c r="AN77" s="264"/>
      <c r="AO77" s="265"/>
      <c r="AP77" s="264"/>
      <c r="AQ77" s="265"/>
      <c r="AR77" s="264"/>
      <c r="AS77" s="265"/>
      <c r="AT77" s="265"/>
      <c r="AU77" s="264"/>
      <c r="AV77" s="265"/>
      <c r="AW77" s="264"/>
      <c r="AX77" s="265"/>
      <c r="AY77" s="264"/>
      <c r="AZ77" s="265"/>
      <c r="BA77" s="264"/>
      <c r="BB77" s="265"/>
      <c r="BC77" s="264"/>
      <c r="BD77" s="265"/>
      <c r="BE77" s="264"/>
      <c r="BF77" s="265"/>
      <c r="BG77" s="264"/>
      <c r="BH77" s="265"/>
      <c r="BI77" s="270"/>
      <c r="BJ77" s="268"/>
      <c r="BK77" s="269"/>
      <c r="BL77" s="269"/>
      <c r="BM77" s="270"/>
    </row>
    <row r="78" spans="1:65" s="282" customFormat="1" ht="18" x14ac:dyDescent="0.25">
      <c r="A78" s="246" t="s">
        <v>23</v>
      </c>
      <c r="B78" s="283" t="s">
        <v>1577</v>
      </c>
      <c r="C78" s="268"/>
      <c r="D78" s="281">
        <f>SUM(GenFundExp2!I190+GenFundExp2!I191)</f>
        <v>0</v>
      </c>
      <c r="E78" s="265"/>
      <c r="F78" s="281">
        <f>SUM(CharterFundExp2!I190+CharterFundExp2!I191)</f>
        <v>0</v>
      </c>
      <c r="G78" s="265"/>
      <c r="H78" s="264"/>
      <c r="I78" s="265"/>
      <c r="J78" s="264"/>
      <c r="K78" s="265"/>
      <c r="L78" s="281"/>
      <c r="M78" s="265"/>
      <c r="N78" s="264"/>
      <c r="O78" s="265"/>
      <c r="P78" s="264"/>
      <c r="Q78" s="265"/>
      <c r="R78" s="264"/>
      <c r="S78" s="265"/>
      <c r="T78" s="264"/>
      <c r="U78" s="265"/>
      <c r="V78" s="264"/>
      <c r="W78" s="265"/>
      <c r="X78" s="264"/>
      <c r="Y78" s="265"/>
      <c r="Z78" s="265"/>
      <c r="AA78" s="264"/>
      <c r="AB78" s="265"/>
      <c r="AC78" s="264"/>
      <c r="AD78" s="264"/>
      <c r="AE78" s="265"/>
      <c r="AF78" s="264"/>
      <c r="AG78" s="265"/>
      <c r="AH78" s="264"/>
      <c r="AI78" s="265"/>
      <c r="AJ78" s="264"/>
      <c r="AK78" s="265"/>
      <c r="AL78" s="264"/>
      <c r="AM78" s="265"/>
      <c r="AN78" s="264"/>
      <c r="AO78" s="265"/>
      <c r="AP78" s="264"/>
      <c r="AQ78" s="265"/>
      <c r="AR78" s="264"/>
      <c r="AS78" s="265"/>
      <c r="AT78" s="265"/>
      <c r="AU78" s="264"/>
      <c r="AV78" s="265"/>
      <c r="AW78" s="264"/>
      <c r="AX78" s="265"/>
      <c r="AY78" s="264"/>
      <c r="AZ78" s="265"/>
      <c r="BA78" s="264"/>
      <c r="BB78" s="265"/>
      <c r="BC78" s="264"/>
      <c r="BD78" s="265"/>
      <c r="BE78" s="264"/>
      <c r="BF78" s="265"/>
      <c r="BG78" s="264"/>
      <c r="BH78" s="265"/>
      <c r="BI78" s="264">
        <f t="shared" ref="BI78:BI84" si="7">D78+F78+H78+J78+X78+N78+P78+R78+L78+T78+V78+AA78+AC78+AD78+AF78+AH78+AJ78+AL78+AN78+AP78+AR78+AU78+AW78+AY78+BA78+BC78+BE78+BG78</f>
        <v>0</v>
      </c>
      <c r="BJ78" s="268"/>
      <c r="BK78" s="269"/>
      <c r="BL78" s="269"/>
      <c r="BM78" s="270"/>
    </row>
    <row r="79" spans="1:65" s="282" customFormat="1" ht="18" x14ac:dyDescent="0.25">
      <c r="A79" s="246" t="s">
        <v>24</v>
      </c>
      <c r="B79" s="283" t="s">
        <v>1578</v>
      </c>
      <c r="C79" s="268"/>
      <c r="D79" s="281">
        <f>SUM(GenFundExp2!I192+GenFundExp2!I193)</f>
        <v>0</v>
      </c>
      <c r="E79" s="265"/>
      <c r="F79" s="281">
        <f>SUM(CharterFundExp2!I192+CharterFundExp2!I193)</f>
        <v>0</v>
      </c>
      <c r="G79" s="265"/>
      <c r="H79" s="264"/>
      <c r="I79" s="265"/>
      <c r="J79" s="264"/>
      <c r="K79" s="265"/>
      <c r="L79" s="281"/>
      <c r="M79" s="265"/>
      <c r="N79" s="264"/>
      <c r="O79" s="265"/>
      <c r="P79" s="264"/>
      <c r="Q79" s="265"/>
      <c r="R79" s="264"/>
      <c r="S79" s="265"/>
      <c r="T79" s="264"/>
      <c r="U79" s="265"/>
      <c r="V79" s="264"/>
      <c r="W79" s="265"/>
      <c r="X79" s="264"/>
      <c r="Y79" s="265"/>
      <c r="Z79" s="265"/>
      <c r="AA79" s="264"/>
      <c r="AB79" s="265"/>
      <c r="AC79" s="264"/>
      <c r="AD79" s="264"/>
      <c r="AE79" s="265"/>
      <c r="AF79" s="264"/>
      <c r="AG79" s="265"/>
      <c r="AH79" s="264"/>
      <c r="AI79" s="265"/>
      <c r="AJ79" s="264"/>
      <c r="AK79" s="265"/>
      <c r="AL79" s="264"/>
      <c r="AM79" s="265"/>
      <c r="AN79" s="264"/>
      <c r="AO79" s="265"/>
      <c r="AP79" s="264"/>
      <c r="AQ79" s="265"/>
      <c r="AR79" s="264"/>
      <c r="AS79" s="265"/>
      <c r="AT79" s="265"/>
      <c r="AU79" s="264"/>
      <c r="AV79" s="265"/>
      <c r="AW79" s="264"/>
      <c r="AX79" s="265"/>
      <c r="AY79" s="264"/>
      <c r="AZ79" s="265"/>
      <c r="BA79" s="264"/>
      <c r="BB79" s="265"/>
      <c r="BC79" s="264"/>
      <c r="BD79" s="265"/>
      <c r="BE79" s="264"/>
      <c r="BF79" s="265"/>
      <c r="BG79" s="264"/>
      <c r="BH79" s="265"/>
      <c r="BI79" s="264">
        <f t="shared" si="7"/>
        <v>0</v>
      </c>
      <c r="BJ79" s="268"/>
      <c r="BK79" s="269"/>
      <c r="BL79" s="269"/>
      <c r="BM79" s="270"/>
    </row>
    <row r="80" spans="1:65" s="282" customFormat="1" ht="36" x14ac:dyDescent="0.25">
      <c r="A80" s="246" t="s">
        <v>25</v>
      </c>
      <c r="B80" s="283" t="s">
        <v>897</v>
      </c>
      <c r="C80" s="268"/>
      <c r="D80" s="281">
        <f>SUM(GenFundExp2!I194:I205)</f>
        <v>0</v>
      </c>
      <c r="E80" s="265"/>
      <c r="F80" s="281">
        <f>SUM(CharterFundExp2!I194:I205)</f>
        <v>0</v>
      </c>
      <c r="G80" s="265"/>
      <c r="H80" s="264"/>
      <c r="I80" s="265"/>
      <c r="J80" s="264"/>
      <c r="K80" s="265"/>
      <c r="L80" s="281"/>
      <c r="M80" s="265"/>
      <c r="N80" s="264"/>
      <c r="O80" s="265"/>
      <c r="P80" s="264"/>
      <c r="Q80" s="265"/>
      <c r="R80" s="264"/>
      <c r="S80" s="265"/>
      <c r="T80" s="264"/>
      <c r="U80" s="265"/>
      <c r="V80" s="264"/>
      <c r="W80" s="265"/>
      <c r="X80" s="264"/>
      <c r="Y80" s="265"/>
      <c r="Z80" s="265"/>
      <c r="AA80" s="264"/>
      <c r="AB80" s="265"/>
      <c r="AC80" s="264"/>
      <c r="AD80" s="264"/>
      <c r="AE80" s="265"/>
      <c r="AF80" s="264"/>
      <c r="AG80" s="265"/>
      <c r="AH80" s="264"/>
      <c r="AI80" s="265"/>
      <c r="AJ80" s="264"/>
      <c r="AK80" s="265"/>
      <c r="AL80" s="264"/>
      <c r="AM80" s="265"/>
      <c r="AN80" s="264"/>
      <c r="AO80" s="265"/>
      <c r="AP80" s="264"/>
      <c r="AQ80" s="265"/>
      <c r="AR80" s="264"/>
      <c r="AS80" s="265"/>
      <c r="AT80" s="265"/>
      <c r="AU80" s="264"/>
      <c r="AV80" s="265"/>
      <c r="AW80" s="264"/>
      <c r="AX80" s="265"/>
      <c r="AY80" s="264"/>
      <c r="AZ80" s="265"/>
      <c r="BA80" s="264"/>
      <c r="BB80" s="265"/>
      <c r="BC80" s="264"/>
      <c r="BD80" s="265"/>
      <c r="BE80" s="264"/>
      <c r="BF80" s="265"/>
      <c r="BG80" s="264"/>
      <c r="BH80" s="265"/>
      <c r="BI80" s="264">
        <f t="shared" si="7"/>
        <v>0</v>
      </c>
      <c r="BJ80" s="268"/>
      <c r="BK80" s="269"/>
      <c r="BL80" s="269"/>
      <c r="BM80" s="270"/>
    </row>
    <row r="81" spans="1:65" s="282" customFormat="1" ht="18" x14ac:dyDescent="0.25">
      <c r="A81" s="246" t="s">
        <v>898</v>
      </c>
      <c r="B81" s="283" t="s">
        <v>1582</v>
      </c>
      <c r="C81" s="268"/>
      <c r="D81" s="281">
        <f>SUM(GenFundExp2!I206:I207)</f>
        <v>0</v>
      </c>
      <c r="E81" s="265"/>
      <c r="F81" s="281">
        <f>SUM(CharterFundExp2!I206:I207)</f>
        <v>0</v>
      </c>
      <c r="G81" s="265"/>
      <c r="H81" s="264"/>
      <c r="I81" s="265"/>
      <c r="J81" s="264"/>
      <c r="K81" s="265"/>
      <c r="L81" s="281"/>
      <c r="M81" s="265"/>
      <c r="N81" s="264"/>
      <c r="O81" s="265"/>
      <c r="P81" s="264"/>
      <c r="Q81" s="265"/>
      <c r="R81" s="264"/>
      <c r="S81" s="265"/>
      <c r="T81" s="264"/>
      <c r="U81" s="265"/>
      <c r="V81" s="264"/>
      <c r="W81" s="265"/>
      <c r="X81" s="264"/>
      <c r="Y81" s="265"/>
      <c r="Z81" s="265"/>
      <c r="AA81" s="264"/>
      <c r="AB81" s="265"/>
      <c r="AC81" s="264"/>
      <c r="AD81" s="264"/>
      <c r="AE81" s="265"/>
      <c r="AF81" s="264"/>
      <c r="AG81" s="265"/>
      <c r="AH81" s="264"/>
      <c r="AI81" s="265"/>
      <c r="AJ81" s="264"/>
      <c r="AK81" s="265"/>
      <c r="AL81" s="264"/>
      <c r="AM81" s="265"/>
      <c r="AN81" s="264"/>
      <c r="AO81" s="265"/>
      <c r="AP81" s="264"/>
      <c r="AQ81" s="265"/>
      <c r="AR81" s="264"/>
      <c r="AS81" s="265"/>
      <c r="AT81" s="265"/>
      <c r="AU81" s="264"/>
      <c r="AV81" s="265"/>
      <c r="AW81" s="264"/>
      <c r="AX81" s="265"/>
      <c r="AY81" s="264"/>
      <c r="AZ81" s="265"/>
      <c r="BA81" s="264"/>
      <c r="BB81" s="265"/>
      <c r="BC81" s="264"/>
      <c r="BD81" s="265"/>
      <c r="BE81" s="264"/>
      <c r="BF81" s="265"/>
      <c r="BG81" s="264"/>
      <c r="BH81" s="265"/>
      <c r="BI81" s="264">
        <f t="shared" si="7"/>
        <v>0</v>
      </c>
      <c r="BJ81" s="268"/>
      <c r="BK81" s="269"/>
      <c r="BL81" s="269"/>
      <c r="BM81" s="270"/>
    </row>
    <row r="82" spans="1:65" s="282" customFormat="1" ht="18" x14ac:dyDescent="0.25">
      <c r="A82" s="246" t="s">
        <v>899</v>
      </c>
      <c r="B82" s="283" t="s">
        <v>1583</v>
      </c>
      <c r="C82" s="268"/>
      <c r="D82" s="281">
        <f>SUM(GenFundExp2!I208:I211)</f>
        <v>0</v>
      </c>
      <c r="E82" s="265"/>
      <c r="F82" s="281">
        <f>SUM(CharterFundExp2!I208:I211)</f>
        <v>0</v>
      </c>
      <c r="G82" s="265"/>
      <c r="H82" s="264"/>
      <c r="I82" s="265"/>
      <c r="J82" s="264"/>
      <c r="K82" s="265"/>
      <c r="L82" s="281"/>
      <c r="M82" s="265"/>
      <c r="N82" s="264"/>
      <c r="O82" s="265"/>
      <c r="P82" s="264"/>
      <c r="Q82" s="265"/>
      <c r="R82" s="264"/>
      <c r="S82" s="265"/>
      <c r="T82" s="264"/>
      <c r="U82" s="265"/>
      <c r="V82" s="264"/>
      <c r="W82" s="265"/>
      <c r="X82" s="264"/>
      <c r="Y82" s="265"/>
      <c r="Z82" s="265"/>
      <c r="AA82" s="264"/>
      <c r="AB82" s="265"/>
      <c r="AC82" s="264"/>
      <c r="AD82" s="264"/>
      <c r="AE82" s="265"/>
      <c r="AF82" s="264"/>
      <c r="AG82" s="265"/>
      <c r="AH82" s="264"/>
      <c r="AI82" s="265"/>
      <c r="AJ82" s="264"/>
      <c r="AK82" s="265"/>
      <c r="AL82" s="264"/>
      <c r="AM82" s="265"/>
      <c r="AN82" s="264"/>
      <c r="AO82" s="265"/>
      <c r="AP82" s="264"/>
      <c r="AQ82" s="265"/>
      <c r="AR82" s="264"/>
      <c r="AS82" s="265"/>
      <c r="AT82" s="265"/>
      <c r="AU82" s="264"/>
      <c r="AV82" s="265"/>
      <c r="AW82" s="264"/>
      <c r="AX82" s="265"/>
      <c r="AY82" s="264"/>
      <c r="AZ82" s="265"/>
      <c r="BA82" s="264"/>
      <c r="BB82" s="265"/>
      <c r="BC82" s="264"/>
      <c r="BD82" s="265"/>
      <c r="BE82" s="264"/>
      <c r="BF82" s="265"/>
      <c r="BG82" s="264"/>
      <c r="BH82" s="265"/>
      <c r="BI82" s="264">
        <f t="shared" si="7"/>
        <v>0</v>
      </c>
      <c r="BJ82" s="268"/>
      <c r="BK82" s="269"/>
      <c r="BL82" s="269"/>
      <c r="BM82" s="270"/>
    </row>
    <row r="83" spans="1:65" s="282" customFormat="1" ht="18.75" thickBot="1" x14ac:dyDescent="0.3">
      <c r="A83" s="246" t="s">
        <v>900</v>
      </c>
      <c r="B83" s="283" t="s">
        <v>901</v>
      </c>
      <c r="C83" s="268"/>
      <c r="D83" s="281">
        <f>SUM(GenFundExp2!I212:I217)</f>
        <v>0</v>
      </c>
      <c r="E83" s="265"/>
      <c r="F83" s="281">
        <f>SUM(CharterFundExp2!I212:I217)</f>
        <v>0</v>
      </c>
      <c r="G83" s="265"/>
      <c r="H83" s="264"/>
      <c r="I83" s="265"/>
      <c r="J83" s="264"/>
      <c r="K83" s="265"/>
      <c r="L83" s="281"/>
      <c r="M83" s="265"/>
      <c r="N83" s="264"/>
      <c r="O83" s="265"/>
      <c r="P83" s="264"/>
      <c r="Q83" s="265"/>
      <c r="R83" s="264"/>
      <c r="S83" s="265"/>
      <c r="T83" s="264"/>
      <c r="U83" s="265"/>
      <c r="V83" s="264"/>
      <c r="W83" s="265"/>
      <c r="X83" s="264"/>
      <c r="Y83" s="265"/>
      <c r="Z83" s="265"/>
      <c r="AA83" s="264"/>
      <c r="AB83" s="265"/>
      <c r="AC83" s="264"/>
      <c r="AD83" s="264"/>
      <c r="AE83" s="265"/>
      <c r="AF83" s="264"/>
      <c r="AG83" s="265"/>
      <c r="AH83" s="264"/>
      <c r="AI83" s="265"/>
      <c r="AJ83" s="264"/>
      <c r="AK83" s="265"/>
      <c r="AL83" s="264"/>
      <c r="AM83" s="265"/>
      <c r="AN83" s="264"/>
      <c r="AO83" s="265"/>
      <c r="AP83" s="264"/>
      <c r="AQ83" s="265"/>
      <c r="AR83" s="264"/>
      <c r="AS83" s="265"/>
      <c r="AT83" s="265"/>
      <c r="AU83" s="264"/>
      <c r="AV83" s="265"/>
      <c r="AW83" s="264"/>
      <c r="AX83" s="265"/>
      <c r="AY83" s="264"/>
      <c r="AZ83" s="265"/>
      <c r="BA83" s="264"/>
      <c r="BB83" s="265"/>
      <c r="BC83" s="264"/>
      <c r="BD83" s="265"/>
      <c r="BE83" s="264"/>
      <c r="BF83" s="265"/>
      <c r="BG83" s="264"/>
      <c r="BH83" s="265"/>
      <c r="BI83" s="264">
        <f t="shared" si="7"/>
        <v>0</v>
      </c>
      <c r="BJ83" s="268"/>
      <c r="BK83" s="269"/>
      <c r="BL83" s="269"/>
      <c r="BM83" s="270"/>
    </row>
    <row r="84" spans="1:65" s="282" customFormat="1" ht="18.75" thickBot="1" x14ac:dyDescent="0.3">
      <c r="A84" s="271" t="s">
        <v>913</v>
      </c>
      <c r="B84" s="279"/>
      <c r="C84" s="275"/>
      <c r="D84" s="274">
        <f>SUM(D78:D83)</f>
        <v>0</v>
      </c>
      <c r="E84" s="275"/>
      <c r="F84" s="274">
        <f>SUM(F78:F83)</f>
        <v>0</v>
      </c>
      <c r="G84" s="275"/>
      <c r="H84" s="274">
        <f>SUM(H78:H83)</f>
        <v>0</v>
      </c>
      <c r="I84" s="275"/>
      <c r="J84" s="274">
        <f>SUM(J78:J83)</f>
        <v>0</v>
      </c>
      <c r="K84" s="275"/>
      <c r="L84" s="274">
        <f>SUM(L78:L83)</f>
        <v>0</v>
      </c>
      <c r="M84" s="275"/>
      <c r="N84" s="274">
        <f>SUM(N78:N83)</f>
        <v>0</v>
      </c>
      <c r="O84" s="275"/>
      <c r="P84" s="274">
        <f>SUM(P78:P83)</f>
        <v>0</v>
      </c>
      <c r="Q84" s="275"/>
      <c r="R84" s="274">
        <f>SUM(R78:R83)</f>
        <v>0</v>
      </c>
      <c r="S84" s="275"/>
      <c r="T84" s="274">
        <f>SUM(T78:T83)</f>
        <v>0</v>
      </c>
      <c r="U84" s="275"/>
      <c r="V84" s="274">
        <f>SUM(V78:V83)</f>
        <v>0</v>
      </c>
      <c r="W84" s="275"/>
      <c r="X84" s="274">
        <f>SUM(X78:X83)</f>
        <v>0</v>
      </c>
      <c r="Y84" s="275"/>
      <c r="Z84" s="275"/>
      <c r="AA84" s="274">
        <f>SUM(AA78:AA83)</f>
        <v>0</v>
      </c>
      <c r="AB84" s="275"/>
      <c r="AC84" s="274">
        <f>SUM(AC78:AC83)</f>
        <v>0</v>
      </c>
      <c r="AD84" s="274">
        <f>SUM(AD78:AD83)</f>
        <v>0</v>
      </c>
      <c r="AE84" s="275"/>
      <c r="AF84" s="274">
        <f>SUM(AF78:AF83)</f>
        <v>0</v>
      </c>
      <c r="AG84" s="275"/>
      <c r="AH84" s="274">
        <f>SUM(AH78:AH83)</f>
        <v>0</v>
      </c>
      <c r="AI84" s="275"/>
      <c r="AJ84" s="274">
        <f>SUM(AJ78:AJ83)</f>
        <v>0</v>
      </c>
      <c r="AK84" s="275"/>
      <c r="AL84" s="274">
        <f>SUM(AL78:AL83)</f>
        <v>0</v>
      </c>
      <c r="AM84" s="275"/>
      <c r="AN84" s="274">
        <f>SUM(AN78:AN83)</f>
        <v>0</v>
      </c>
      <c r="AO84" s="275"/>
      <c r="AP84" s="274">
        <f>SUM(AP78:AP83)</f>
        <v>0</v>
      </c>
      <c r="AQ84" s="275"/>
      <c r="AR84" s="274">
        <f>SUM(AR78:AR83)</f>
        <v>0</v>
      </c>
      <c r="AS84" s="275"/>
      <c r="AT84" s="275"/>
      <c r="AU84" s="274">
        <f>SUM(AU78:AU83)</f>
        <v>0</v>
      </c>
      <c r="AV84" s="275"/>
      <c r="AW84" s="274">
        <f>SUM(AW78:AW83)</f>
        <v>0</v>
      </c>
      <c r="AX84" s="275"/>
      <c r="AY84" s="274">
        <f>SUM(AY78:AY83)</f>
        <v>0</v>
      </c>
      <c r="AZ84" s="275"/>
      <c r="BA84" s="274">
        <f>SUM(BA78:BA83)</f>
        <v>0</v>
      </c>
      <c r="BB84" s="275"/>
      <c r="BC84" s="274">
        <f>SUM(BC78:BC83)</f>
        <v>0</v>
      </c>
      <c r="BD84" s="275"/>
      <c r="BE84" s="274">
        <f>SUM(BE78:BE83)</f>
        <v>0</v>
      </c>
      <c r="BF84" s="275"/>
      <c r="BG84" s="274">
        <f>SUM(BG78:BG83)</f>
        <v>0</v>
      </c>
      <c r="BH84" s="275"/>
      <c r="BI84" s="274">
        <f t="shared" si="7"/>
        <v>0</v>
      </c>
      <c r="BJ84" s="275"/>
      <c r="BK84" s="276"/>
      <c r="BL84" s="276"/>
      <c r="BM84" s="270"/>
    </row>
    <row r="85" spans="1:65" s="282" customFormat="1" ht="36" x14ac:dyDescent="0.25">
      <c r="A85" s="246" t="s">
        <v>914</v>
      </c>
      <c r="B85" s="262"/>
      <c r="C85" s="268"/>
      <c r="D85" s="264"/>
      <c r="E85" s="265"/>
      <c r="F85" s="264"/>
      <c r="G85" s="265"/>
      <c r="H85" s="264"/>
      <c r="I85" s="265"/>
      <c r="J85" s="264"/>
      <c r="K85" s="265"/>
      <c r="L85" s="281"/>
      <c r="M85" s="265"/>
      <c r="N85" s="264"/>
      <c r="O85" s="265"/>
      <c r="P85" s="264"/>
      <c r="Q85" s="265"/>
      <c r="R85" s="264"/>
      <c r="S85" s="265"/>
      <c r="T85" s="264"/>
      <c r="U85" s="265"/>
      <c r="V85" s="264"/>
      <c r="W85" s="265"/>
      <c r="X85" s="264"/>
      <c r="Y85" s="265"/>
      <c r="Z85" s="265"/>
      <c r="AA85" s="264"/>
      <c r="AB85" s="265"/>
      <c r="AC85" s="264"/>
      <c r="AD85" s="264"/>
      <c r="AE85" s="265"/>
      <c r="AF85" s="264"/>
      <c r="AG85" s="265"/>
      <c r="AH85" s="264"/>
      <c r="AI85" s="265"/>
      <c r="AJ85" s="264"/>
      <c r="AK85" s="265"/>
      <c r="AL85" s="264"/>
      <c r="AM85" s="265"/>
      <c r="AN85" s="264"/>
      <c r="AO85" s="265"/>
      <c r="AP85" s="264"/>
      <c r="AQ85" s="265"/>
      <c r="AR85" s="264"/>
      <c r="AS85" s="265"/>
      <c r="AT85" s="265"/>
      <c r="AU85" s="264"/>
      <c r="AV85" s="265"/>
      <c r="AW85" s="264"/>
      <c r="AX85" s="265"/>
      <c r="AY85" s="264"/>
      <c r="AZ85" s="265"/>
      <c r="BA85" s="264"/>
      <c r="BB85" s="265"/>
      <c r="BC85" s="264"/>
      <c r="BD85" s="265"/>
      <c r="BE85" s="264"/>
      <c r="BF85" s="265"/>
      <c r="BG85" s="264"/>
      <c r="BH85" s="265"/>
      <c r="BI85" s="270"/>
      <c r="BJ85" s="268"/>
      <c r="BK85" s="269"/>
      <c r="BL85" s="269"/>
      <c r="BM85" s="270"/>
    </row>
    <row r="86" spans="1:65" s="282" customFormat="1" ht="18" x14ac:dyDescent="0.25">
      <c r="A86" s="246" t="s">
        <v>23</v>
      </c>
      <c r="B86" s="283" t="s">
        <v>1577</v>
      </c>
      <c r="C86" s="268"/>
      <c r="D86" s="281">
        <f>SUM(GenFundExp2!I221+GenFundExp2!I222)</f>
        <v>0</v>
      </c>
      <c r="E86" s="265"/>
      <c r="F86" s="281">
        <f>SUM(CharterFundExp2!I221+CharterFundExp2!I222)</f>
        <v>0</v>
      </c>
      <c r="G86" s="265"/>
      <c r="H86" s="264"/>
      <c r="I86" s="265"/>
      <c r="J86" s="264"/>
      <c r="K86" s="265"/>
      <c r="L86" s="281"/>
      <c r="M86" s="265"/>
      <c r="N86" s="264"/>
      <c r="O86" s="265"/>
      <c r="P86" s="264"/>
      <c r="Q86" s="265"/>
      <c r="R86" s="264"/>
      <c r="S86" s="265"/>
      <c r="T86" s="264"/>
      <c r="U86" s="265"/>
      <c r="V86" s="264"/>
      <c r="W86" s="265"/>
      <c r="X86" s="264"/>
      <c r="Y86" s="265"/>
      <c r="Z86" s="265"/>
      <c r="AA86" s="264"/>
      <c r="AB86" s="265"/>
      <c r="AC86" s="264"/>
      <c r="AD86" s="264"/>
      <c r="AE86" s="265"/>
      <c r="AF86" s="264"/>
      <c r="AG86" s="265"/>
      <c r="AH86" s="264"/>
      <c r="AI86" s="265"/>
      <c r="AJ86" s="264"/>
      <c r="AK86" s="265"/>
      <c r="AL86" s="264"/>
      <c r="AM86" s="265"/>
      <c r="AN86" s="264"/>
      <c r="AO86" s="265"/>
      <c r="AP86" s="264"/>
      <c r="AQ86" s="265"/>
      <c r="AR86" s="264"/>
      <c r="AS86" s="265"/>
      <c r="AT86" s="265"/>
      <c r="AU86" s="264"/>
      <c r="AV86" s="265"/>
      <c r="AW86" s="264"/>
      <c r="AX86" s="265"/>
      <c r="AY86" s="264"/>
      <c r="AZ86" s="265"/>
      <c r="BA86" s="264"/>
      <c r="BB86" s="265"/>
      <c r="BC86" s="264"/>
      <c r="BD86" s="265"/>
      <c r="BE86" s="264"/>
      <c r="BF86" s="265"/>
      <c r="BG86" s="264"/>
      <c r="BH86" s="265"/>
      <c r="BI86" s="264">
        <f t="shared" ref="BI86:BI92" si="8">D86+F86+H86+J86+X86+N86+P86+R86+L86+T86+V86+AA86+AC86+AD86+AF86+AH86+AJ86+AL86+AN86+AP86+AR86+AU86+AW86+AY86+BA86+BC86+BE86+BG86</f>
        <v>0</v>
      </c>
      <c r="BJ86" s="268"/>
      <c r="BK86" s="269"/>
      <c r="BL86" s="269"/>
      <c r="BM86" s="270"/>
    </row>
    <row r="87" spans="1:65" s="282" customFormat="1" ht="18" x14ac:dyDescent="0.25">
      <c r="A87" s="246" t="s">
        <v>24</v>
      </c>
      <c r="B87" s="283" t="s">
        <v>1578</v>
      </c>
      <c r="C87" s="268"/>
      <c r="D87" s="281">
        <f>SUM(GenFundExp2!I223+GenFundExp2!I224)</f>
        <v>0</v>
      </c>
      <c r="E87" s="265"/>
      <c r="F87" s="281">
        <f>SUM(CharterFundExp2!I223+CharterFundExp2!I224)</f>
        <v>0</v>
      </c>
      <c r="G87" s="265"/>
      <c r="H87" s="264"/>
      <c r="I87" s="265"/>
      <c r="J87" s="264"/>
      <c r="K87" s="265"/>
      <c r="L87" s="281"/>
      <c r="M87" s="265"/>
      <c r="N87" s="264"/>
      <c r="O87" s="265"/>
      <c r="P87" s="264"/>
      <c r="Q87" s="265"/>
      <c r="R87" s="264"/>
      <c r="S87" s="265"/>
      <c r="T87" s="264"/>
      <c r="U87" s="265"/>
      <c r="V87" s="264"/>
      <c r="W87" s="265"/>
      <c r="X87" s="264"/>
      <c r="Y87" s="265"/>
      <c r="Z87" s="265"/>
      <c r="AA87" s="264"/>
      <c r="AB87" s="265"/>
      <c r="AC87" s="264"/>
      <c r="AD87" s="264"/>
      <c r="AE87" s="265"/>
      <c r="AF87" s="264"/>
      <c r="AG87" s="265"/>
      <c r="AH87" s="264"/>
      <c r="AI87" s="265"/>
      <c r="AJ87" s="264"/>
      <c r="AK87" s="265"/>
      <c r="AL87" s="264"/>
      <c r="AM87" s="265"/>
      <c r="AN87" s="264"/>
      <c r="AO87" s="265"/>
      <c r="AP87" s="264"/>
      <c r="AQ87" s="265"/>
      <c r="AR87" s="264"/>
      <c r="AS87" s="265"/>
      <c r="AT87" s="265"/>
      <c r="AU87" s="264"/>
      <c r="AV87" s="265"/>
      <c r="AW87" s="264"/>
      <c r="AX87" s="265"/>
      <c r="AY87" s="264"/>
      <c r="AZ87" s="265"/>
      <c r="BA87" s="264"/>
      <c r="BB87" s="265"/>
      <c r="BC87" s="264"/>
      <c r="BD87" s="265"/>
      <c r="BE87" s="264"/>
      <c r="BF87" s="265"/>
      <c r="BG87" s="264"/>
      <c r="BH87" s="265"/>
      <c r="BI87" s="264">
        <f t="shared" si="8"/>
        <v>0</v>
      </c>
      <c r="BJ87" s="268"/>
      <c r="BK87" s="269"/>
      <c r="BL87" s="269"/>
      <c r="BM87" s="270"/>
    </row>
    <row r="88" spans="1:65" s="282" customFormat="1" ht="36" x14ac:dyDescent="0.25">
      <c r="A88" s="246" t="s">
        <v>25</v>
      </c>
      <c r="B88" s="283" t="s">
        <v>897</v>
      </c>
      <c r="C88" s="268"/>
      <c r="D88" s="281">
        <f>SUM(GenFundExp2!I225:I237)</f>
        <v>0</v>
      </c>
      <c r="E88" s="265"/>
      <c r="F88" s="281">
        <f>SUM(CharterFundExp2!I225:I237)</f>
        <v>0</v>
      </c>
      <c r="G88" s="265"/>
      <c r="H88" s="281">
        <f>SUM(InsResv!I25+InsResv!I26+InsResv!I27+InsResv!I28)</f>
        <v>0</v>
      </c>
      <c r="I88" s="265"/>
      <c r="J88" s="264"/>
      <c r="K88" s="265"/>
      <c r="L88" s="281"/>
      <c r="M88" s="265"/>
      <c r="N88" s="264"/>
      <c r="O88" s="265"/>
      <c r="P88" s="264"/>
      <c r="Q88" s="265"/>
      <c r="R88" s="264"/>
      <c r="S88" s="265"/>
      <c r="T88" s="264"/>
      <c r="U88" s="265"/>
      <c r="V88" s="264"/>
      <c r="W88" s="265"/>
      <c r="X88" s="264"/>
      <c r="Y88" s="265"/>
      <c r="Z88" s="265"/>
      <c r="AA88" s="264"/>
      <c r="AB88" s="265"/>
      <c r="AC88" s="264"/>
      <c r="AD88" s="264"/>
      <c r="AE88" s="265"/>
      <c r="AF88" s="264"/>
      <c r="AG88" s="265"/>
      <c r="AH88" s="264"/>
      <c r="AI88" s="265"/>
      <c r="AJ88" s="264"/>
      <c r="AK88" s="265"/>
      <c r="AL88" s="264"/>
      <c r="AM88" s="265"/>
      <c r="AN88" s="264"/>
      <c r="AO88" s="265"/>
      <c r="AP88" s="264"/>
      <c r="AQ88" s="265"/>
      <c r="AR88" s="264"/>
      <c r="AS88" s="265"/>
      <c r="AT88" s="265"/>
      <c r="AU88" s="264"/>
      <c r="AV88" s="265"/>
      <c r="AW88" s="264"/>
      <c r="AX88" s="265"/>
      <c r="AY88" s="264"/>
      <c r="AZ88" s="265"/>
      <c r="BA88" s="264"/>
      <c r="BB88" s="265"/>
      <c r="BC88" s="264"/>
      <c r="BD88" s="265"/>
      <c r="BE88" s="264"/>
      <c r="BF88" s="265"/>
      <c r="BG88" s="264"/>
      <c r="BH88" s="265"/>
      <c r="BI88" s="264">
        <f t="shared" si="8"/>
        <v>0</v>
      </c>
      <c r="BJ88" s="268"/>
      <c r="BK88" s="269"/>
      <c r="BL88" s="269"/>
      <c r="BM88" s="270"/>
    </row>
    <row r="89" spans="1:65" s="282" customFormat="1" ht="18" x14ac:dyDescent="0.25">
      <c r="A89" s="246" t="s">
        <v>898</v>
      </c>
      <c r="B89" s="283" t="s">
        <v>1582</v>
      </c>
      <c r="C89" s="268"/>
      <c r="D89" s="281">
        <f>SUM(GenFundExp2!I238:I239)</f>
        <v>0</v>
      </c>
      <c r="E89" s="265"/>
      <c r="F89" s="281">
        <f>SUM(CharterFundExp2!I238:I239)</f>
        <v>0</v>
      </c>
      <c r="G89" s="265"/>
      <c r="H89" s="281"/>
      <c r="I89" s="265"/>
      <c r="J89" s="264"/>
      <c r="K89" s="265"/>
      <c r="L89" s="281"/>
      <c r="M89" s="265"/>
      <c r="N89" s="264"/>
      <c r="O89" s="265"/>
      <c r="P89" s="264"/>
      <c r="Q89" s="265"/>
      <c r="R89" s="264"/>
      <c r="S89" s="265"/>
      <c r="T89" s="264"/>
      <c r="U89" s="265"/>
      <c r="V89" s="264"/>
      <c r="W89" s="265"/>
      <c r="X89" s="264"/>
      <c r="Y89" s="265"/>
      <c r="Z89" s="265"/>
      <c r="AA89" s="264"/>
      <c r="AB89" s="265"/>
      <c r="AC89" s="264"/>
      <c r="AD89" s="264"/>
      <c r="AE89" s="265"/>
      <c r="AF89" s="264"/>
      <c r="AG89" s="265"/>
      <c r="AH89" s="264"/>
      <c r="AI89" s="265"/>
      <c r="AJ89" s="264"/>
      <c r="AK89" s="265"/>
      <c r="AL89" s="264"/>
      <c r="AM89" s="265"/>
      <c r="AN89" s="264"/>
      <c r="AO89" s="265"/>
      <c r="AP89" s="264"/>
      <c r="AQ89" s="265"/>
      <c r="AR89" s="264"/>
      <c r="AS89" s="265"/>
      <c r="AT89" s="265"/>
      <c r="AU89" s="264"/>
      <c r="AV89" s="265"/>
      <c r="AW89" s="264"/>
      <c r="AX89" s="265"/>
      <c r="AY89" s="264"/>
      <c r="AZ89" s="265"/>
      <c r="BA89" s="264"/>
      <c r="BB89" s="265"/>
      <c r="BC89" s="264"/>
      <c r="BD89" s="265"/>
      <c r="BE89" s="264"/>
      <c r="BF89" s="265"/>
      <c r="BG89" s="264"/>
      <c r="BH89" s="265"/>
      <c r="BI89" s="264">
        <f t="shared" si="8"/>
        <v>0</v>
      </c>
      <c r="BJ89" s="268"/>
      <c r="BK89" s="269"/>
      <c r="BL89" s="269"/>
      <c r="BM89" s="270"/>
    </row>
    <row r="90" spans="1:65" s="282" customFormat="1" ht="18" x14ac:dyDescent="0.25">
      <c r="A90" s="246" t="s">
        <v>899</v>
      </c>
      <c r="B90" s="283" t="s">
        <v>1583</v>
      </c>
      <c r="C90" s="268"/>
      <c r="D90" s="281">
        <f>SUM(GenFundExp2!I240:I244)</f>
        <v>0</v>
      </c>
      <c r="E90" s="265"/>
      <c r="F90" s="281">
        <f>SUM(CharterFundExp2!I240:I244)</f>
        <v>0</v>
      </c>
      <c r="G90" s="265"/>
      <c r="H90" s="281"/>
      <c r="I90" s="265"/>
      <c r="J90" s="264"/>
      <c r="K90" s="265"/>
      <c r="L90" s="281"/>
      <c r="M90" s="265"/>
      <c r="N90" s="264"/>
      <c r="O90" s="265"/>
      <c r="P90" s="264"/>
      <c r="Q90" s="265"/>
      <c r="R90" s="264"/>
      <c r="S90" s="265"/>
      <c r="T90" s="264"/>
      <c r="U90" s="265"/>
      <c r="V90" s="264"/>
      <c r="W90" s="265"/>
      <c r="X90" s="264"/>
      <c r="Y90" s="265"/>
      <c r="Z90" s="265"/>
      <c r="AA90" s="264"/>
      <c r="AB90" s="265"/>
      <c r="AC90" s="264"/>
      <c r="AD90" s="264"/>
      <c r="AE90" s="265"/>
      <c r="AF90" s="264"/>
      <c r="AG90" s="265"/>
      <c r="AH90" s="264"/>
      <c r="AI90" s="265"/>
      <c r="AJ90" s="264"/>
      <c r="AK90" s="265"/>
      <c r="AL90" s="264"/>
      <c r="AM90" s="265"/>
      <c r="AN90" s="264"/>
      <c r="AO90" s="265"/>
      <c r="AP90" s="264"/>
      <c r="AQ90" s="265"/>
      <c r="AR90" s="264"/>
      <c r="AS90" s="265"/>
      <c r="AT90" s="265"/>
      <c r="AU90" s="264"/>
      <c r="AV90" s="265"/>
      <c r="AW90" s="264"/>
      <c r="AX90" s="265"/>
      <c r="AY90" s="264"/>
      <c r="AZ90" s="265"/>
      <c r="BA90" s="264"/>
      <c r="BB90" s="265"/>
      <c r="BC90" s="264"/>
      <c r="BD90" s="265"/>
      <c r="BE90" s="264"/>
      <c r="BF90" s="265"/>
      <c r="BG90" s="264"/>
      <c r="BH90" s="265"/>
      <c r="BI90" s="264">
        <f t="shared" si="8"/>
        <v>0</v>
      </c>
      <c r="BJ90" s="268"/>
      <c r="BK90" s="269"/>
      <c r="BL90" s="269"/>
      <c r="BM90" s="270"/>
    </row>
    <row r="91" spans="1:65" s="282" customFormat="1" ht="18.75" thickBot="1" x14ac:dyDescent="0.3">
      <c r="A91" s="246" t="s">
        <v>900</v>
      </c>
      <c r="B91" s="283" t="s">
        <v>901</v>
      </c>
      <c r="C91" s="268"/>
      <c r="D91" s="281">
        <f>SUM(GenFundExp2!I245:I250)</f>
        <v>0</v>
      </c>
      <c r="E91" s="265"/>
      <c r="F91" s="281">
        <f>SUM(CharterFundExp2!I245:I250)</f>
        <v>0</v>
      </c>
      <c r="G91" s="265"/>
      <c r="H91" s="281">
        <f>InsResv!I37</f>
        <v>0</v>
      </c>
      <c r="I91" s="265"/>
      <c r="J91" s="264"/>
      <c r="K91" s="265"/>
      <c r="L91" s="281"/>
      <c r="M91" s="265"/>
      <c r="N91" s="264"/>
      <c r="O91" s="265"/>
      <c r="P91" s="264"/>
      <c r="Q91" s="265"/>
      <c r="R91" s="264"/>
      <c r="S91" s="265"/>
      <c r="T91" s="264"/>
      <c r="U91" s="265"/>
      <c r="V91" s="264"/>
      <c r="W91" s="265"/>
      <c r="X91" s="264"/>
      <c r="Y91" s="265"/>
      <c r="Z91" s="265"/>
      <c r="AA91" s="264"/>
      <c r="AB91" s="265"/>
      <c r="AC91" s="264"/>
      <c r="AD91" s="264"/>
      <c r="AE91" s="265"/>
      <c r="AF91" s="264"/>
      <c r="AG91" s="265"/>
      <c r="AH91" s="264"/>
      <c r="AI91" s="265"/>
      <c r="AJ91" s="264"/>
      <c r="AK91" s="265"/>
      <c r="AL91" s="264"/>
      <c r="AM91" s="265"/>
      <c r="AN91" s="264"/>
      <c r="AO91" s="265"/>
      <c r="AP91" s="264"/>
      <c r="AQ91" s="265"/>
      <c r="AR91" s="264"/>
      <c r="AS91" s="265"/>
      <c r="AT91" s="265"/>
      <c r="AU91" s="264"/>
      <c r="AV91" s="265"/>
      <c r="AW91" s="264"/>
      <c r="AX91" s="265"/>
      <c r="AY91" s="264"/>
      <c r="AZ91" s="265"/>
      <c r="BA91" s="264"/>
      <c r="BB91" s="265"/>
      <c r="BC91" s="264"/>
      <c r="BD91" s="265"/>
      <c r="BE91" s="264"/>
      <c r="BF91" s="265"/>
      <c r="BG91" s="264"/>
      <c r="BH91" s="265"/>
      <c r="BI91" s="264">
        <f t="shared" si="8"/>
        <v>0</v>
      </c>
      <c r="BJ91" s="268"/>
      <c r="BK91" s="269"/>
      <c r="BL91" s="269"/>
      <c r="BM91" s="270"/>
    </row>
    <row r="92" spans="1:65" s="282" customFormat="1" ht="18.75" thickBot="1" x14ac:dyDescent="0.3">
      <c r="A92" s="271" t="s">
        <v>769</v>
      </c>
      <c r="B92" s="279"/>
      <c r="C92" s="275"/>
      <c r="D92" s="274">
        <f>SUM(D86:D91)</f>
        <v>0</v>
      </c>
      <c r="E92" s="275"/>
      <c r="F92" s="274">
        <f>SUM(F86:F91)</f>
        <v>0</v>
      </c>
      <c r="G92" s="275"/>
      <c r="H92" s="274">
        <f>SUM(H86:H91)</f>
        <v>0</v>
      </c>
      <c r="I92" s="275"/>
      <c r="J92" s="274">
        <f>SUM(J86:J91)</f>
        <v>0</v>
      </c>
      <c r="K92" s="275"/>
      <c r="L92" s="274">
        <f>SUM(L86:L91)</f>
        <v>0</v>
      </c>
      <c r="M92" s="275"/>
      <c r="N92" s="274">
        <f>SUM(N86:N91)</f>
        <v>0</v>
      </c>
      <c r="O92" s="275"/>
      <c r="P92" s="274">
        <f>SUM(P86:P91)</f>
        <v>0</v>
      </c>
      <c r="Q92" s="275"/>
      <c r="R92" s="274">
        <f>SUM(R86:R91)</f>
        <v>0</v>
      </c>
      <c r="S92" s="275"/>
      <c r="T92" s="274">
        <f>SUM(T86:T91)</f>
        <v>0</v>
      </c>
      <c r="U92" s="275"/>
      <c r="V92" s="274">
        <f>SUM(V86:V91)</f>
        <v>0</v>
      </c>
      <c r="W92" s="275"/>
      <c r="X92" s="274">
        <f>SUM(X86:X91)</f>
        <v>0</v>
      </c>
      <c r="Y92" s="275"/>
      <c r="Z92" s="275"/>
      <c r="AA92" s="274">
        <f>SUM(AA86:AA91)</f>
        <v>0</v>
      </c>
      <c r="AB92" s="275"/>
      <c r="AC92" s="274">
        <f>SUM(AC86:AC91)</f>
        <v>0</v>
      </c>
      <c r="AD92" s="274">
        <f>SUM(AD86:AD91)</f>
        <v>0</v>
      </c>
      <c r="AE92" s="275"/>
      <c r="AF92" s="274">
        <f>SUM(AF86:AF91)</f>
        <v>0</v>
      </c>
      <c r="AG92" s="275"/>
      <c r="AH92" s="274">
        <f>SUM(AH86:AH91)</f>
        <v>0</v>
      </c>
      <c r="AI92" s="275"/>
      <c r="AJ92" s="274">
        <f>SUM(AJ86:AJ91)</f>
        <v>0</v>
      </c>
      <c r="AK92" s="275"/>
      <c r="AL92" s="274">
        <f>SUM(AL86:AL91)</f>
        <v>0</v>
      </c>
      <c r="AM92" s="275"/>
      <c r="AN92" s="274">
        <f>SUM(AN86:AN91)</f>
        <v>0</v>
      </c>
      <c r="AO92" s="275"/>
      <c r="AP92" s="274">
        <f>SUM(AP86:AP91)</f>
        <v>0</v>
      </c>
      <c r="AQ92" s="275"/>
      <c r="AR92" s="274">
        <f>SUM(AR86:AR91)</f>
        <v>0</v>
      </c>
      <c r="AS92" s="275"/>
      <c r="AT92" s="275"/>
      <c r="AU92" s="274">
        <f>SUM(AU86:AU91)</f>
        <v>0</v>
      </c>
      <c r="AV92" s="275"/>
      <c r="AW92" s="274">
        <f>SUM(AW86:AW91)</f>
        <v>0</v>
      </c>
      <c r="AX92" s="275"/>
      <c r="AY92" s="274">
        <f>SUM(AY86:AY91)</f>
        <v>0</v>
      </c>
      <c r="AZ92" s="275"/>
      <c r="BA92" s="274">
        <f>SUM(BA86:BA91)</f>
        <v>0</v>
      </c>
      <c r="BB92" s="275"/>
      <c r="BC92" s="274">
        <f>SUM(BC86:BC91)</f>
        <v>0</v>
      </c>
      <c r="BD92" s="275"/>
      <c r="BE92" s="274">
        <f>SUM(BE86:BE91)</f>
        <v>0</v>
      </c>
      <c r="BF92" s="275"/>
      <c r="BG92" s="274">
        <f>SUM(BG86:BG91)</f>
        <v>0</v>
      </c>
      <c r="BH92" s="275"/>
      <c r="BI92" s="274">
        <f t="shared" si="8"/>
        <v>0</v>
      </c>
      <c r="BJ92" s="275"/>
      <c r="BK92" s="276"/>
      <c r="BL92" s="276"/>
      <c r="BM92" s="270"/>
    </row>
    <row r="93" spans="1:65" s="282" customFormat="1" ht="18" x14ac:dyDescent="0.25">
      <c r="A93" s="246"/>
      <c r="B93" s="262"/>
      <c r="C93" s="268"/>
      <c r="D93" s="264"/>
      <c r="E93" s="265"/>
      <c r="F93" s="264"/>
      <c r="G93" s="265"/>
      <c r="H93" s="264"/>
      <c r="I93" s="265"/>
      <c r="J93" s="264"/>
      <c r="K93" s="265"/>
      <c r="L93" s="281"/>
      <c r="M93" s="265"/>
      <c r="N93" s="264"/>
      <c r="O93" s="265"/>
      <c r="P93" s="264"/>
      <c r="Q93" s="265"/>
      <c r="R93" s="264"/>
      <c r="S93" s="265"/>
      <c r="T93" s="264"/>
      <c r="U93" s="265"/>
      <c r="V93" s="264"/>
      <c r="W93" s="265"/>
      <c r="X93" s="264"/>
      <c r="Y93" s="265"/>
      <c r="Z93" s="265"/>
      <c r="AA93" s="264"/>
      <c r="AB93" s="265"/>
      <c r="AC93" s="264"/>
      <c r="AD93" s="264"/>
      <c r="AE93" s="265"/>
      <c r="AF93" s="264"/>
      <c r="AG93" s="265"/>
      <c r="AH93" s="264"/>
      <c r="AI93" s="265"/>
      <c r="AJ93" s="264"/>
      <c r="AK93" s="265"/>
      <c r="AL93" s="264"/>
      <c r="AM93" s="265"/>
      <c r="AN93" s="264"/>
      <c r="AO93" s="265"/>
      <c r="AP93" s="264"/>
      <c r="AQ93" s="265"/>
      <c r="AR93" s="264"/>
      <c r="AS93" s="265"/>
      <c r="AT93" s="265"/>
      <c r="AU93" s="264"/>
      <c r="AV93" s="265"/>
      <c r="AW93" s="264"/>
      <c r="AX93" s="265"/>
      <c r="AY93" s="264"/>
      <c r="AZ93" s="265"/>
      <c r="BA93" s="264"/>
      <c r="BB93" s="265"/>
      <c r="BC93" s="264"/>
      <c r="BD93" s="265"/>
      <c r="BE93" s="264"/>
      <c r="BF93" s="265"/>
      <c r="BG93" s="264"/>
      <c r="BH93" s="265"/>
      <c r="BI93" s="270"/>
      <c r="BJ93" s="268"/>
      <c r="BK93" s="269"/>
      <c r="BL93" s="269"/>
      <c r="BM93" s="270"/>
    </row>
    <row r="94" spans="1:65" s="282" customFormat="1" ht="36" x14ac:dyDescent="0.25">
      <c r="A94" s="246" t="s">
        <v>770</v>
      </c>
      <c r="B94" s="262"/>
      <c r="C94" s="268"/>
      <c r="D94" s="264"/>
      <c r="E94" s="265"/>
      <c r="F94" s="264"/>
      <c r="G94" s="265"/>
      <c r="H94" s="264"/>
      <c r="I94" s="265"/>
      <c r="J94" s="264"/>
      <c r="K94" s="265"/>
      <c r="L94" s="281"/>
      <c r="M94" s="265"/>
      <c r="N94" s="264"/>
      <c r="O94" s="265"/>
      <c r="P94" s="264"/>
      <c r="Q94" s="265"/>
      <c r="R94" s="264"/>
      <c r="S94" s="265"/>
      <c r="T94" s="264"/>
      <c r="U94" s="265"/>
      <c r="V94" s="264"/>
      <c r="W94" s="265"/>
      <c r="X94" s="264"/>
      <c r="Y94" s="265"/>
      <c r="Z94" s="265"/>
      <c r="AA94" s="264"/>
      <c r="AB94" s="265"/>
      <c r="AC94" s="264"/>
      <c r="AD94" s="264"/>
      <c r="AE94" s="265"/>
      <c r="AF94" s="264"/>
      <c r="AG94" s="265"/>
      <c r="AH94" s="264"/>
      <c r="AI94" s="265"/>
      <c r="AJ94" s="264"/>
      <c r="AK94" s="265"/>
      <c r="AL94" s="264"/>
      <c r="AM94" s="265"/>
      <c r="AN94" s="264"/>
      <c r="AO94" s="265"/>
      <c r="AP94" s="264"/>
      <c r="AQ94" s="265"/>
      <c r="AR94" s="264"/>
      <c r="AS94" s="265"/>
      <c r="AT94" s="265"/>
      <c r="AU94" s="264"/>
      <c r="AV94" s="265"/>
      <c r="AW94" s="264"/>
      <c r="AX94" s="265"/>
      <c r="AY94" s="264"/>
      <c r="AZ94" s="265"/>
      <c r="BA94" s="264"/>
      <c r="BB94" s="265"/>
      <c r="BC94" s="264"/>
      <c r="BD94" s="265"/>
      <c r="BE94" s="264"/>
      <c r="BF94" s="265"/>
      <c r="BG94" s="264"/>
      <c r="BH94" s="265"/>
      <c r="BI94" s="270"/>
      <c r="BJ94" s="268"/>
      <c r="BK94" s="269"/>
      <c r="BL94" s="269"/>
      <c r="BM94" s="270"/>
    </row>
    <row r="95" spans="1:65" s="282" customFormat="1" ht="18" x14ac:dyDescent="0.25">
      <c r="A95" s="246" t="s">
        <v>23</v>
      </c>
      <c r="B95" s="283" t="s">
        <v>1577</v>
      </c>
      <c r="C95" s="268"/>
      <c r="D95" s="281">
        <f>SUM(GenFundExp2!I254+GenFundExp2!I255)</f>
        <v>0</v>
      </c>
      <c r="E95" s="265"/>
      <c r="F95" s="281">
        <f>SUM(CharterFundExp2!I254+CharterFundExp2!I255)</f>
        <v>0</v>
      </c>
      <c r="G95" s="265"/>
      <c r="H95" s="264"/>
      <c r="I95" s="265"/>
      <c r="J95" s="264"/>
      <c r="K95" s="265"/>
      <c r="L95" s="281"/>
      <c r="M95" s="265"/>
      <c r="N95" s="264"/>
      <c r="O95" s="265"/>
      <c r="P95" s="264"/>
      <c r="Q95" s="265"/>
      <c r="R95" s="264"/>
      <c r="S95" s="265"/>
      <c r="T95" s="264"/>
      <c r="U95" s="265"/>
      <c r="V95" s="264"/>
      <c r="W95" s="265"/>
      <c r="X95" s="264"/>
      <c r="Y95" s="265"/>
      <c r="Z95" s="265"/>
      <c r="AA95" s="264"/>
      <c r="AB95" s="265"/>
      <c r="AC95" s="264"/>
      <c r="AD95" s="264"/>
      <c r="AE95" s="265"/>
      <c r="AF95" s="264"/>
      <c r="AG95" s="265"/>
      <c r="AH95" s="264"/>
      <c r="AI95" s="265"/>
      <c r="AJ95" s="264"/>
      <c r="AK95" s="265"/>
      <c r="AL95" s="264"/>
      <c r="AM95" s="265"/>
      <c r="AN95" s="264"/>
      <c r="AO95" s="265"/>
      <c r="AP95" s="264"/>
      <c r="AQ95" s="265"/>
      <c r="AR95" s="264"/>
      <c r="AS95" s="265"/>
      <c r="AT95" s="265"/>
      <c r="AU95" s="264"/>
      <c r="AV95" s="265"/>
      <c r="AW95" s="264"/>
      <c r="AX95" s="265"/>
      <c r="AY95" s="264"/>
      <c r="AZ95" s="265"/>
      <c r="BA95" s="264"/>
      <c r="BB95" s="265"/>
      <c r="BC95" s="264"/>
      <c r="BD95" s="265"/>
      <c r="BE95" s="264"/>
      <c r="BF95" s="265"/>
      <c r="BG95" s="264"/>
      <c r="BH95" s="265"/>
      <c r="BI95" s="264">
        <f t="shared" ref="BI95:BI101" si="9">D95+F95+H95+J95+X95+N95+P95+R95+L95+T95+V95+AA95+AC95+AD95+AF95+AH95+AJ95+AL95+AN95+AP95+AR95+AU95+AW95+AY95+BA95+BC95+BE95+BG95</f>
        <v>0</v>
      </c>
      <c r="BJ95" s="268"/>
      <c r="BK95" s="269"/>
      <c r="BL95" s="269"/>
      <c r="BM95" s="270"/>
    </row>
    <row r="96" spans="1:65" s="282" customFormat="1" ht="18" x14ac:dyDescent="0.25">
      <c r="A96" s="246" t="s">
        <v>24</v>
      </c>
      <c r="B96" s="283" t="s">
        <v>1578</v>
      </c>
      <c r="C96" s="268"/>
      <c r="D96" s="281">
        <f>SUM(GenFundExp2!I256+GenFundExp2!I257)</f>
        <v>0</v>
      </c>
      <c r="E96" s="265"/>
      <c r="F96" s="281">
        <f>SUM(CharterFundExp2!I256+CharterFundExp2!I257)</f>
        <v>0</v>
      </c>
      <c r="G96" s="265"/>
      <c r="H96" s="264"/>
      <c r="I96" s="265"/>
      <c r="J96" s="264"/>
      <c r="K96" s="265"/>
      <c r="L96" s="281"/>
      <c r="M96" s="265"/>
      <c r="N96" s="264"/>
      <c r="O96" s="265"/>
      <c r="P96" s="264"/>
      <c r="Q96" s="265"/>
      <c r="R96" s="264"/>
      <c r="S96" s="265"/>
      <c r="T96" s="264"/>
      <c r="U96" s="265"/>
      <c r="V96" s="264"/>
      <c r="W96" s="265"/>
      <c r="X96" s="264"/>
      <c r="Y96" s="265"/>
      <c r="Z96" s="265"/>
      <c r="AA96" s="264"/>
      <c r="AB96" s="265"/>
      <c r="AC96" s="264"/>
      <c r="AD96" s="264"/>
      <c r="AE96" s="265"/>
      <c r="AF96" s="264"/>
      <c r="AG96" s="265"/>
      <c r="AH96" s="264"/>
      <c r="AI96" s="265"/>
      <c r="AJ96" s="264"/>
      <c r="AK96" s="265"/>
      <c r="AL96" s="264"/>
      <c r="AM96" s="265"/>
      <c r="AN96" s="264"/>
      <c r="AO96" s="265"/>
      <c r="AP96" s="264"/>
      <c r="AQ96" s="265"/>
      <c r="AR96" s="264"/>
      <c r="AS96" s="265"/>
      <c r="AT96" s="265"/>
      <c r="AU96" s="264"/>
      <c r="AV96" s="265"/>
      <c r="AW96" s="264"/>
      <c r="AX96" s="265"/>
      <c r="AY96" s="264"/>
      <c r="AZ96" s="265"/>
      <c r="BA96" s="264"/>
      <c r="BB96" s="265"/>
      <c r="BC96" s="264"/>
      <c r="BD96" s="265"/>
      <c r="BE96" s="264"/>
      <c r="BF96" s="265"/>
      <c r="BG96" s="264"/>
      <c r="BH96" s="265"/>
      <c r="BI96" s="264">
        <f t="shared" si="9"/>
        <v>0</v>
      </c>
      <c r="BJ96" s="268"/>
      <c r="BK96" s="269"/>
      <c r="BL96" s="269"/>
      <c r="BM96" s="270"/>
    </row>
    <row r="97" spans="1:65" s="282" customFormat="1" ht="36" x14ac:dyDescent="0.25">
      <c r="A97" s="246" t="s">
        <v>25</v>
      </c>
      <c r="B97" s="283" t="s">
        <v>897</v>
      </c>
      <c r="C97" s="268"/>
      <c r="D97" s="281">
        <f>SUM(GenFundExp2!I258:I277)</f>
        <v>0</v>
      </c>
      <c r="E97" s="265"/>
      <c r="F97" s="281">
        <f>SUM(CharterFundExp2!I258:I277)</f>
        <v>0</v>
      </c>
      <c r="G97" s="265"/>
      <c r="H97" s="281">
        <f>SUM(InsResv!I29)</f>
        <v>0</v>
      </c>
      <c r="I97" s="265"/>
      <c r="J97" s="264"/>
      <c r="K97" s="265"/>
      <c r="L97" s="281"/>
      <c r="M97" s="265"/>
      <c r="N97" s="264"/>
      <c r="O97" s="265"/>
      <c r="P97" s="264"/>
      <c r="Q97" s="265"/>
      <c r="R97" s="264"/>
      <c r="S97" s="265"/>
      <c r="T97" s="264"/>
      <c r="U97" s="265"/>
      <c r="V97" s="264"/>
      <c r="W97" s="265"/>
      <c r="X97" s="264"/>
      <c r="Y97" s="265"/>
      <c r="Z97" s="265"/>
      <c r="AA97" s="264"/>
      <c r="AB97" s="265"/>
      <c r="AC97" s="264"/>
      <c r="AD97" s="264"/>
      <c r="AE97" s="265"/>
      <c r="AF97" s="264"/>
      <c r="AG97" s="265"/>
      <c r="AH97" s="264"/>
      <c r="AI97" s="265"/>
      <c r="AJ97" s="264"/>
      <c r="AK97" s="265"/>
      <c r="AL97" s="264"/>
      <c r="AM97" s="265"/>
      <c r="AN97" s="264"/>
      <c r="AO97" s="265"/>
      <c r="AP97" s="264"/>
      <c r="AQ97" s="265"/>
      <c r="AR97" s="264"/>
      <c r="AS97" s="265"/>
      <c r="AT97" s="265"/>
      <c r="AU97" s="264"/>
      <c r="AV97" s="265"/>
      <c r="AW97" s="264"/>
      <c r="AX97" s="265"/>
      <c r="AY97" s="264"/>
      <c r="AZ97" s="265"/>
      <c r="BA97" s="264"/>
      <c r="BB97" s="265"/>
      <c r="BC97" s="264"/>
      <c r="BD97" s="265"/>
      <c r="BE97" s="264"/>
      <c r="BF97" s="265"/>
      <c r="BG97" s="264"/>
      <c r="BH97" s="265"/>
      <c r="BI97" s="264">
        <f t="shared" si="9"/>
        <v>0</v>
      </c>
      <c r="BJ97" s="268"/>
      <c r="BK97" s="269"/>
      <c r="BL97" s="269"/>
      <c r="BM97" s="270"/>
    </row>
    <row r="98" spans="1:65" s="282" customFormat="1" ht="18" x14ac:dyDescent="0.25">
      <c r="A98" s="246" t="s">
        <v>898</v>
      </c>
      <c r="B98" s="283" t="s">
        <v>1582</v>
      </c>
      <c r="C98" s="268"/>
      <c r="D98" s="281">
        <f>SUM(GenFundExp2!I278:I279)</f>
        <v>0</v>
      </c>
      <c r="E98" s="265"/>
      <c r="F98" s="281">
        <f>SUM(CharterFundExp2!I278:I279)</f>
        <v>0</v>
      </c>
      <c r="G98" s="265"/>
      <c r="H98" s="264"/>
      <c r="I98" s="265"/>
      <c r="J98" s="264"/>
      <c r="K98" s="265"/>
      <c r="L98" s="281"/>
      <c r="M98" s="265"/>
      <c r="N98" s="264"/>
      <c r="O98" s="265"/>
      <c r="P98" s="264"/>
      <c r="Q98" s="265"/>
      <c r="R98" s="264"/>
      <c r="S98" s="265"/>
      <c r="T98" s="264"/>
      <c r="U98" s="265"/>
      <c r="V98" s="264"/>
      <c r="W98" s="265"/>
      <c r="X98" s="264"/>
      <c r="Y98" s="265"/>
      <c r="Z98" s="265"/>
      <c r="AA98" s="264"/>
      <c r="AB98" s="265"/>
      <c r="AC98" s="264"/>
      <c r="AD98" s="264"/>
      <c r="AE98" s="265"/>
      <c r="AF98" s="264"/>
      <c r="AG98" s="265"/>
      <c r="AH98" s="264"/>
      <c r="AI98" s="265"/>
      <c r="AJ98" s="264"/>
      <c r="AK98" s="265"/>
      <c r="AL98" s="264"/>
      <c r="AM98" s="265"/>
      <c r="AN98" s="264"/>
      <c r="AO98" s="265"/>
      <c r="AP98" s="264"/>
      <c r="AQ98" s="265"/>
      <c r="AR98" s="264"/>
      <c r="AS98" s="265"/>
      <c r="AT98" s="265"/>
      <c r="AU98" s="264"/>
      <c r="AV98" s="265"/>
      <c r="AW98" s="264"/>
      <c r="AX98" s="265"/>
      <c r="AY98" s="264"/>
      <c r="AZ98" s="265"/>
      <c r="BA98" s="264"/>
      <c r="BB98" s="265"/>
      <c r="BC98" s="264"/>
      <c r="BD98" s="265"/>
      <c r="BE98" s="264"/>
      <c r="BF98" s="265"/>
      <c r="BG98" s="264"/>
      <c r="BH98" s="265"/>
      <c r="BI98" s="264">
        <f t="shared" si="9"/>
        <v>0</v>
      </c>
      <c r="BJ98" s="268"/>
      <c r="BK98" s="269"/>
      <c r="BL98" s="269"/>
      <c r="BM98" s="270"/>
    </row>
    <row r="99" spans="1:65" s="282" customFormat="1" ht="18" x14ac:dyDescent="0.25">
      <c r="A99" s="246" t="s">
        <v>899</v>
      </c>
      <c r="B99" s="283" t="s">
        <v>1583</v>
      </c>
      <c r="C99" s="268"/>
      <c r="D99" s="281">
        <f>SUM(GenFundExp2!I280:I284)</f>
        <v>0</v>
      </c>
      <c r="E99" s="265"/>
      <c r="F99" s="281">
        <f>SUM(CharterFundExp2!I280:I284)</f>
        <v>0</v>
      </c>
      <c r="G99" s="265"/>
      <c r="H99" s="264"/>
      <c r="I99" s="265"/>
      <c r="J99" s="264"/>
      <c r="K99" s="265"/>
      <c r="L99" s="281"/>
      <c r="M99" s="265"/>
      <c r="N99" s="264"/>
      <c r="O99" s="265"/>
      <c r="P99" s="264"/>
      <c r="Q99" s="265"/>
      <c r="R99" s="264"/>
      <c r="S99" s="265"/>
      <c r="T99" s="264"/>
      <c r="U99" s="265"/>
      <c r="V99" s="264"/>
      <c r="W99" s="265"/>
      <c r="X99" s="264"/>
      <c r="Y99" s="265"/>
      <c r="Z99" s="265"/>
      <c r="AA99" s="264"/>
      <c r="AB99" s="265"/>
      <c r="AC99" s="264"/>
      <c r="AD99" s="264"/>
      <c r="AE99" s="265"/>
      <c r="AF99" s="264"/>
      <c r="AG99" s="265"/>
      <c r="AH99" s="264"/>
      <c r="AI99" s="265"/>
      <c r="AJ99" s="264"/>
      <c r="AK99" s="265"/>
      <c r="AL99" s="264"/>
      <c r="AM99" s="265"/>
      <c r="AN99" s="264"/>
      <c r="AO99" s="265"/>
      <c r="AP99" s="264"/>
      <c r="AQ99" s="265"/>
      <c r="AR99" s="264"/>
      <c r="AS99" s="265"/>
      <c r="AT99" s="265"/>
      <c r="AU99" s="264"/>
      <c r="AV99" s="265"/>
      <c r="AW99" s="264"/>
      <c r="AX99" s="265"/>
      <c r="AY99" s="264"/>
      <c r="AZ99" s="265"/>
      <c r="BA99" s="264"/>
      <c r="BB99" s="265"/>
      <c r="BC99" s="264"/>
      <c r="BD99" s="265"/>
      <c r="BE99" s="264"/>
      <c r="BF99" s="265"/>
      <c r="BG99" s="264"/>
      <c r="BH99" s="265"/>
      <c r="BI99" s="264">
        <f t="shared" si="9"/>
        <v>0</v>
      </c>
      <c r="BJ99" s="268"/>
      <c r="BK99" s="269"/>
      <c r="BL99" s="269"/>
      <c r="BM99" s="270"/>
    </row>
    <row r="100" spans="1:65" s="282" customFormat="1" ht="18.75" thickBot="1" x14ac:dyDescent="0.3">
      <c r="A100" s="246" t="s">
        <v>900</v>
      </c>
      <c r="B100" s="283" t="s">
        <v>901</v>
      </c>
      <c r="C100" s="268"/>
      <c r="D100" s="281">
        <f>SUM(GenFundExp2!I285:I290)</f>
        <v>0</v>
      </c>
      <c r="E100" s="265"/>
      <c r="F100" s="281">
        <f>SUM(CharterFundExp2!I285:I290)</f>
        <v>0</v>
      </c>
      <c r="G100" s="265"/>
      <c r="H100" s="264"/>
      <c r="I100" s="265"/>
      <c r="J100" s="264"/>
      <c r="K100" s="265"/>
      <c r="L100" s="281"/>
      <c r="M100" s="265"/>
      <c r="N100" s="264"/>
      <c r="O100" s="265"/>
      <c r="P100" s="264"/>
      <c r="Q100" s="265"/>
      <c r="R100" s="264"/>
      <c r="S100" s="265"/>
      <c r="T100" s="264"/>
      <c r="U100" s="265"/>
      <c r="V100" s="264"/>
      <c r="W100" s="265"/>
      <c r="X100" s="264"/>
      <c r="Y100" s="265"/>
      <c r="Z100" s="265"/>
      <c r="AA100" s="264"/>
      <c r="AB100" s="265"/>
      <c r="AC100" s="264"/>
      <c r="AD100" s="264"/>
      <c r="AE100" s="265"/>
      <c r="AF100" s="264"/>
      <c r="AG100" s="265"/>
      <c r="AH100" s="264"/>
      <c r="AI100" s="265"/>
      <c r="AJ100" s="264"/>
      <c r="AK100" s="265"/>
      <c r="AL100" s="264"/>
      <c r="AM100" s="265"/>
      <c r="AN100" s="264"/>
      <c r="AO100" s="265"/>
      <c r="AP100" s="264"/>
      <c r="AQ100" s="265"/>
      <c r="AR100" s="264"/>
      <c r="AS100" s="265"/>
      <c r="AT100" s="265"/>
      <c r="AU100" s="264"/>
      <c r="AV100" s="265"/>
      <c r="AW100" s="264"/>
      <c r="AX100" s="265"/>
      <c r="AY100" s="264"/>
      <c r="AZ100" s="265"/>
      <c r="BA100" s="264"/>
      <c r="BB100" s="265"/>
      <c r="BC100" s="264"/>
      <c r="BD100" s="265"/>
      <c r="BE100" s="264"/>
      <c r="BF100" s="265"/>
      <c r="BG100" s="264"/>
      <c r="BH100" s="265"/>
      <c r="BI100" s="264">
        <f t="shared" si="9"/>
        <v>0</v>
      </c>
      <c r="BJ100" s="268"/>
      <c r="BK100" s="269"/>
      <c r="BL100" s="269"/>
      <c r="BM100" s="270"/>
    </row>
    <row r="101" spans="1:65" s="282" customFormat="1" ht="18.75" thickBot="1" x14ac:dyDescent="0.3">
      <c r="A101" s="271" t="s">
        <v>771</v>
      </c>
      <c r="B101" s="279"/>
      <c r="C101" s="275"/>
      <c r="D101" s="274">
        <f>SUM(D95:D100)</f>
        <v>0</v>
      </c>
      <c r="E101" s="275"/>
      <c r="F101" s="274">
        <f>SUM(F95:F100)</f>
        <v>0</v>
      </c>
      <c r="G101" s="275"/>
      <c r="H101" s="274">
        <f>SUM(H95:H100)</f>
        <v>0</v>
      </c>
      <c r="I101" s="275"/>
      <c r="J101" s="274">
        <f>SUM(J95:J100)</f>
        <v>0</v>
      </c>
      <c r="K101" s="275"/>
      <c r="L101" s="274">
        <f>SUM(L95:L100)</f>
        <v>0</v>
      </c>
      <c r="M101" s="275"/>
      <c r="N101" s="274">
        <f>SUM(N95:N100)</f>
        <v>0</v>
      </c>
      <c r="O101" s="275"/>
      <c r="P101" s="274">
        <f>SUM(P95:P100)</f>
        <v>0</v>
      </c>
      <c r="Q101" s="275"/>
      <c r="R101" s="274">
        <f>SUM(R95:R100)</f>
        <v>0</v>
      </c>
      <c r="S101" s="275"/>
      <c r="T101" s="274">
        <f>SUM(T95:T100)</f>
        <v>0</v>
      </c>
      <c r="U101" s="275"/>
      <c r="V101" s="274">
        <f>SUM(V95:V100)</f>
        <v>0</v>
      </c>
      <c r="W101" s="275"/>
      <c r="X101" s="274">
        <f>SUM(X95:X100)</f>
        <v>0</v>
      </c>
      <c r="Y101" s="275"/>
      <c r="Z101" s="275"/>
      <c r="AA101" s="274">
        <f>SUM(AA95:AA100)</f>
        <v>0</v>
      </c>
      <c r="AB101" s="275"/>
      <c r="AC101" s="274">
        <f>SUM(AC95:AC100)</f>
        <v>0</v>
      </c>
      <c r="AD101" s="274">
        <f>SUM(AD95:AD100)</f>
        <v>0</v>
      </c>
      <c r="AE101" s="275"/>
      <c r="AF101" s="274">
        <f>SUM(AF95:AF100)</f>
        <v>0</v>
      </c>
      <c r="AG101" s="275"/>
      <c r="AH101" s="274">
        <f>SUM(AH95:AH100)</f>
        <v>0</v>
      </c>
      <c r="AI101" s="275"/>
      <c r="AJ101" s="274">
        <f>SUM(AJ95:AJ100)</f>
        <v>0</v>
      </c>
      <c r="AK101" s="275"/>
      <c r="AL101" s="274">
        <f>SUM(AL95:AL100)</f>
        <v>0</v>
      </c>
      <c r="AM101" s="275"/>
      <c r="AN101" s="274">
        <f>SUM(AN95:AN100)</f>
        <v>0</v>
      </c>
      <c r="AO101" s="275"/>
      <c r="AP101" s="274">
        <f>SUM(AP95:AP100)</f>
        <v>0</v>
      </c>
      <c r="AQ101" s="275"/>
      <c r="AR101" s="274">
        <f>SUM(AR95:AR100)</f>
        <v>0</v>
      </c>
      <c r="AS101" s="275"/>
      <c r="AT101" s="275"/>
      <c r="AU101" s="274">
        <f>SUM(AU95:AU100)</f>
        <v>0</v>
      </c>
      <c r="AV101" s="275"/>
      <c r="AW101" s="274">
        <f>SUM(AW95:AW100)</f>
        <v>0</v>
      </c>
      <c r="AX101" s="275"/>
      <c r="AY101" s="274">
        <f>SUM(AY95:AY100)</f>
        <v>0</v>
      </c>
      <c r="AZ101" s="275"/>
      <c r="BA101" s="274">
        <f>SUM(BA95:BA100)</f>
        <v>0</v>
      </c>
      <c r="BB101" s="275"/>
      <c r="BC101" s="274">
        <f>SUM(BC95:BC100)</f>
        <v>0</v>
      </c>
      <c r="BD101" s="275"/>
      <c r="BE101" s="274">
        <f>SUM(BE95:BE100)</f>
        <v>0</v>
      </c>
      <c r="BF101" s="275"/>
      <c r="BG101" s="274">
        <f>SUM(BG95:BG100)</f>
        <v>0</v>
      </c>
      <c r="BH101" s="275"/>
      <c r="BI101" s="274">
        <f t="shared" si="9"/>
        <v>0</v>
      </c>
      <c r="BJ101" s="275"/>
      <c r="BK101" s="276"/>
      <c r="BL101" s="276"/>
      <c r="BM101" s="270"/>
    </row>
    <row r="102" spans="1:65" s="282" customFormat="1" ht="18" x14ac:dyDescent="0.25">
      <c r="A102" s="246"/>
      <c r="B102" s="262"/>
      <c r="C102" s="268"/>
      <c r="D102" s="264"/>
      <c r="E102" s="265"/>
      <c r="F102" s="264"/>
      <c r="G102" s="265"/>
      <c r="H102" s="264"/>
      <c r="I102" s="265"/>
      <c r="J102" s="264"/>
      <c r="K102" s="265"/>
      <c r="L102" s="281"/>
      <c r="M102" s="265"/>
      <c r="N102" s="264"/>
      <c r="O102" s="265"/>
      <c r="P102" s="264"/>
      <c r="Q102" s="265"/>
      <c r="R102" s="264"/>
      <c r="S102" s="265"/>
      <c r="T102" s="264"/>
      <c r="U102" s="265"/>
      <c r="V102" s="264"/>
      <c r="W102" s="265"/>
      <c r="X102" s="264"/>
      <c r="Y102" s="265"/>
      <c r="Z102" s="265"/>
      <c r="AA102" s="264"/>
      <c r="AB102" s="265"/>
      <c r="AC102" s="264"/>
      <c r="AD102" s="264"/>
      <c r="AE102" s="265"/>
      <c r="AF102" s="264"/>
      <c r="AG102" s="265"/>
      <c r="AH102" s="264"/>
      <c r="AI102" s="265"/>
      <c r="AJ102" s="264"/>
      <c r="AK102" s="265"/>
      <c r="AL102" s="264"/>
      <c r="AM102" s="265"/>
      <c r="AN102" s="264"/>
      <c r="AO102" s="265"/>
      <c r="AP102" s="264"/>
      <c r="AQ102" s="265"/>
      <c r="AR102" s="264"/>
      <c r="AS102" s="265"/>
      <c r="AT102" s="265"/>
      <c r="AU102" s="264"/>
      <c r="AV102" s="265"/>
      <c r="AW102" s="264"/>
      <c r="AX102" s="265"/>
      <c r="AY102" s="264"/>
      <c r="AZ102" s="265"/>
      <c r="BA102" s="264"/>
      <c r="BB102" s="265"/>
      <c r="BC102" s="264"/>
      <c r="BD102" s="265"/>
      <c r="BE102" s="264"/>
      <c r="BF102" s="265"/>
      <c r="BG102" s="264"/>
      <c r="BH102" s="265"/>
      <c r="BI102" s="270"/>
      <c r="BJ102" s="268"/>
      <c r="BK102" s="269"/>
      <c r="BL102" s="269"/>
      <c r="BM102" s="270"/>
    </row>
    <row r="103" spans="1:65" s="282" customFormat="1" ht="18" x14ac:dyDescent="0.25">
      <c r="A103" s="246" t="s">
        <v>772</v>
      </c>
      <c r="B103" s="262"/>
      <c r="C103" s="268"/>
      <c r="D103" s="264"/>
      <c r="E103" s="265"/>
      <c r="F103" s="264"/>
      <c r="G103" s="265"/>
      <c r="H103" s="264"/>
      <c r="I103" s="265"/>
      <c r="J103" s="264"/>
      <c r="K103" s="265"/>
      <c r="L103" s="281"/>
      <c r="M103" s="265"/>
      <c r="N103" s="264"/>
      <c r="O103" s="265"/>
      <c r="P103" s="264"/>
      <c r="Q103" s="265"/>
      <c r="R103" s="264"/>
      <c r="S103" s="265"/>
      <c r="T103" s="264"/>
      <c r="U103" s="265"/>
      <c r="V103" s="264"/>
      <c r="W103" s="265"/>
      <c r="X103" s="264"/>
      <c r="Y103" s="265"/>
      <c r="Z103" s="265"/>
      <c r="AA103" s="264"/>
      <c r="AB103" s="265"/>
      <c r="AC103" s="264"/>
      <c r="AD103" s="264"/>
      <c r="AE103" s="265"/>
      <c r="AF103" s="264"/>
      <c r="AG103" s="265"/>
      <c r="AH103" s="264"/>
      <c r="AI103" s="265"/>
      <c r="AJ103" s="264"/>
      <c r="AK103" s="265"/>
      <c r="AL103" s="264"/>
      <c r="AM103" s="265"/>
      <c r="AN103" s="264"/>
      <c r="AO103" s="265"/>
      <c r="AP103" s="264"/>
      <c r="AQ103" s="265"/>
      <c r="AR103" s="264"/>
      <c r="AS103" s="265"/>
      <c r="AT103" s="265"/>
      <c r="AU103" s="264"/>
      <c r="AV103" s="265"/>
      <c r="AW103" s="264"/>
      <c r="AX103" s="265"/>
      <c r="AY103" s="264"/>
      <c r="AZ103" s="265"/>
      <c r="BA103" s="264"/>
      <c r="BB103" s="265"/>
      <c r="BC103" s="264"/>
      <c r="BD103" s="265"/>
      <c r="BE103" s="264"/>
      <c r="BF103" s="265"/>
      <c r="BG103" s="264"/>
      <c r="BH103" s="265"/>
      <c r="BI103" s="270"/>
      <c r="BJ103" s="268"/>
      <c r="BK103" s="269"/>
      <c r="BL103" s="269"/>
      <c r="BM103" s="270"/>
    </row>
    <row r="104" spans="1:65" s="282" customFormat="1" ht="18" x14ac:dyDescent="0.25">
      <c r="A104" s="246" t="s">
        <v>23</v>
      </c>
      <c r="B104" s="283" t="s">
        <v>1577</v>
      </c>
      <c r="C104" s="268"/>
      <c r="D104" s="281">
        <f>SUM(GenFundExp2!I294+GenFundExp2!I295)</f>
        <v>0</v>
      </c>
      <c r="E104" s="265"/>
      <c r="F104" s="281">
        <f>SUM(CharterFundExp2!I294+CharterFundExp2!I295)</f>
        <v>0</v>
      </c>
      <c r="G104" s="265"/>
      <c r="H104" s="264"/>
      <c r="I104" s="265"/>
      <c r="J104" s="264"/>
      <c r="K104" s="265"/>
      <c r="L104" s="281"/>
      <c r="M104" s="265"/>
      <c r="N104" s="264"/>
      <c r="O104" s="265"/>
      <c r="P104" s="264"/>
      <c r="Q104" s="265"/>
      <c r="R104" s="264"/>
      <c r="S104" s="265"/>
      <c r="T104" s="264"/>
      <c r="U104" s="265"/>
      <c r="V104" s="264"/>
      <c r="W104" s="265"/>
      <c r="X104" s="264"/>
      <c r="Y104" s="265"/>
      <c r="Z104" s="265"/>
      <c r="AA104" s="264"/>
      <c r="AB104" s="265"/>
      <c r="AC104" s="264"/>
      <c r="AD104" s="264"/>
      <c r="AE104" s="265"/>
      <c r="AF104" s="264"/>
      <c r="AG104" s="265"/>
      <c r="AH104" s="264"/>
      <c r="AI104" s="265"/>
      <c r="AJ104" s="264"/>
      <c r="AK104" s="265"/>
      <c r="AL104" s="264"/>
      <c r="AM104" s="265"/>
      <c r="AN104" s="264"/>
      <c r="AO104" s="265"/>
      <c r="AP104" s="264"/>
      <c r="AQ104" s="265"/>
      <c r="AR104" s="264"/>
      <c r="AS104" s="265"/>
      <c r="AT104" s="265"/>
      <c r="AU104" s="264"/>
      <c r="AV104" s="265"/>
      <c r="AW104" s="264"/>
      <c r="AX104" s="265"/>
      <c r="AY104" s="264"/>
      <c r="AZ104" s="265"/>
      <c r="BA104" s="264"/>
      <c r="BB104" s="265"/>
      <c r="BC104" s="264"/>
      <c r="BD104" s="265"/>
      <c r="BE104" s="264"/>
      <c r="BF104" s="265"/>
      <c r="BG104" s="264"/>
      <c r="BH104" s="265"/>
      <c r="BI104" s="264">
        <f t="shared" ref="BI104:BI110" si="10">D104+F104+H104+J104+X104+N104+P104+R104+L104+T104+V104+AA104+AC104+AD104+AF104+AH104+AJ104+AL104+AN104+AP104+AR104+AU104+AW104+AY104+BA104+BC104+BE104+BG104</f>
        <v>0</v>
      </c>
      <c r="BJ104" s="268"/>
      <c r="BK104" s="269"/>
      <c r="BL104" s="269"/>
      <c r="BM104" s="270"/>
    </row>
    <row r="105" spans="1:65" s="282" customFormat="1" ht="18" x14ac:dyDescent="0.25">
      <c r="A105" s="246" t="s">
        <v>24</v>
      </c>
      <c r="B105" s="283" t="s">
        <v>1578</v>
      </c>
      <c r="C105" s="268"/>
      <c r="D105" s="281">
        <f>SUM(GenFundExp2!I296+GenFundExp2!I297)</f>
        <v>0</v>
      </c>
      <c r="E105" s="265"/>
      <c r="F105" s="281">
        <f>SUM(CharterFundExp2!I296+CharterFundExp2!I297)</f>
        <v>0</v>
      </c>
      <c r="G105" s="265"/>
      <c r="H105" s="264"/>
      <c r="I105" s="265"/>
      <c r="J105" s="264"/>
      <c r="K105" s="265"/>
      <c r="L105" s="281"/>
      <c r="M105" s="265"/>
      <c r="N105" s="264"/>
      <c r="O105" s="265"/>
      <c r="P105" s="264"/>
      <c r="Q105" s="265"/>
      <c r="R105" s="264"/>
      <c r="S105" s="265"/>
      <c r="T105" s="264"/>
      <c r="U105" s="265"/>
      <c r="V105" s="264"/>
      <c r="W105" s="265"/>
      <c r="X105" s="264"/>
      <c r="Y105" s="265"/>
      <c r="Z105" s="265"/>
      <c r="AA105" s="264"/>
      <c r="AB105" s="265"/>
      <c r="AC105" s="264"/>
      <c r="AD105" s="264"/>
      <c r="AE105" s="265"/>
      <c r="AF105" s="264"/>
      <c r="AG105" s="265"/>
      <c r="AH105" s="264"/>
      <c r="AI105" s="265"/>
      <c r="AJ105" s="264"/>
      <c r="AK105" s="265"/>
      <c r="AL105" s="264"/>
      <c r="AM105" s="265"/>
      <c r="AN105" s="264"/>
      <c r="AO105" s="265"/>
      <c r="AP105" s="264"/>
      <c r="AQ105" s="265"/>
      <c r="AR105" s="264"/>
      <c r="AS105" s="265"/>
      <c r="AT105" s="265"/>
      <c r="AU105" s="264"/>
      <c r="AV105" s="265"/>
      <c r="AW105" s="264"/>
      <c r="AX105" s="265"/>
      <c r="AY105" s="264"/>
      <c r="AZ105" s="265"/>
      <c r="BA105" s="264"/>
      <c r="BB105" s="265"/>
      <c r="BC105" s="264"/>
      <c r="BD105" s="265"/>
      <c r="BE105" s="264"/>
      <c r="BF105" s="265"/>
      <c r="BG105" s="264"/>
      <c r="BH105" s="265"/>
      <c r="BI105" s="264">
        <f t="shared" si="10"/>
        <v>0</v>
      </c>
      <c r="BJ105" s="268"/>
      <c r="BK105" s="269"/>
      <c r="BL105" s="269"/>
      <c r="BM105" s="270"/>
    </row>
    <row r="106" spans="1:65" s="282" customFormat="1" ht="36" x14ac:dyDescent="0.25">
      <c r="A106" s="246" t="s">
        <v>25</v>
      </c>
      <c r="B106" s="283" t="s">
        <v>773</v>
      </c>
      <c r="C106" s="268"/>
      <c r="D106" s="281">
        <f>SUM(GenFundExp2!I298:I310)</f>
        <v>0</v>
      </c>
      <c r="E106" s="265"/>
      <c r="F106" s="281">
        <f>SUM(CharterFundExp2!I298:I310)</f>
        <v>0</v>
      </c>
      <c r="G106" s="265"/>
      <c r="H106" s="705">
        <f>SUM(InsResv!I31+InsResv!I33+InsResv!I34+InsResv!I35+InsResv!I32)</f>
        <v>0</v>
      </c>
      <c r="I106" s="265"/>
      <c r="J106" s="264"/>
      <c r="K106" s="265"/>
      <c r="L106" s="281"/>
      <c r="M106" s="265"/>
      <c r="N106" s="264"/>
      <c r="O106" s="265"/>
      <c r="P106" s="264"/>
      <c r="Q106" s="265"/>
      <c r="R106" s="264"/>
      <c r="S106" s="265"/>
      <c r="T106" s="264"/>
      <c r="U106" s="265"/>
      <c r="V106" s="264"/>
      <c r="W106" s="265"/>
      <c r="X106" s="264"/>
      <c r="Y106" s="265"/>
      <c r="Z106" s="265"/>
      <c r="AA106" s="264"/>
      <c r="AB106" s="265"/>
      <c r="AC106" s="264"/>
      <c r="AD106" s="264"/>
      <c r="AE106" s="265"/>
      <c r="AF106" s="264"/>
      <c r="AG106" s="265"/>
      <c r="AH106" s="264"/>
      <c r="AI106" s="265"/>
      <c r="AJ106" s="264"/>
      <c r="AK106" s="265"/>
      <c r="AL106" s="264"/>
      <c r="AM106" s="265"/>
      <c r="AN106" s="264"/>
      <c r="AO106" s="265"/>
      <c r="AP106" s="264"/>
      <c r="AQ106" s="265"/>
      <c r="AR106" s="264"/>
      <c r="AS106" s="265"/>
      <c r="AT106" s="265"/>
      <c r="AU106" s="264"/>
      <c r="AV106" s="265"/>
      <c r="AW106" s="264"/>
      <c r="AX106" s="265"/>
      <c r="AY106" s="264"/>
      <c r="AZ106" s="265"/>
      <c r="BA106" s="264"/>
      <c r="BB106" s="265"/>
      <c r="BC106" s="264"/>
      <c r="BD106" s="265"/>
      <c r="BE106" s="264"/>
      <c r="BF106" s="265"/>
      <c r="BG106" s="264"/>
      <c r="BH106" s="265"/>
      <c r="BI106" s="264">
        <f t="shared" si="10"/>
        <v>0</v>
      </c>
      <c r="BJ106" s="268"/>
      <c r="BK106" s="269"/>
      <c r="BL106" s="269"/>
      <c r="BM106" s="270"/>
    </row>
    <row r="107" spans="1:65" s="282" customFormat="1" ht="18" x14ac:dyDescent="0.25">
      <c r="A107" s="246" t="s">
        <v>898</v>
      </c>
      <c r="B107" s="283" t="s">
        <v>1582</v>
      </c>
      <c r="C107" s="268"/>
      <c r="D107" s="281">
        <f>SUM(GenFundExp2!I311:I312)</f>
        <v>0</v>
      </c>
      <c r="E107" s="265"/>
      <c r="F107" s="281">
        <f>SUM(CharterFundExp2!I311:I312)</f>
        <v>0</v>
      </c>
      <c r="G107" s="265"/>
      <c r="H107" s="264"/>
      <c r="I107" s="265"/>
      <c r="J107" s="264"/>
      <c r="K107" s="265"/>
      <c r="L107" s="281"/>
      <c r="M107" s="265"/>
      <c r="N107" s="264"/>
      <c r="O107" s="265"/>
      <c r="P107" s="264"/>
      <c r="Q107" s="265"/>
      <c r="R107" s="264"/>
      <c r="S107" s="265"/>
      <c r="T107" s="264"/>
      <c r="U107" s="265"/>
      <c r="V107" s="264"/>
      <c r="W107" s="265"/>
      <c r="X107" s="264"/>
      <c r="Y107" s="265"/>
      <c r="Z107" s="265"/>
      <c r="AA107" s="264"/>
      <c r="AB107" s="265"/>
      <c r="AC107" s="264"/>
      <c r="AD107" s="264"/>
      <c r="AE107" s="265"/>
      <c r="AF107" s="264"/>
      <c r="AG107" s="265"/>
      <c r="AH107" s="264"/>
      <c r="AI107" s="265"/>
      <c r="AJ107" s="264"/>
      <c r="AK107" s="265"/>
      <c r="AL107" s="264"/>
      <c r="AM107" s="265"/>
      <c r="AN107" s="264"/>
      <c r="AO107" s="265"/>
      <c r="AP107" s="264"/>
      <c r="AQ107" s="265"/>
      <c r="AR107" s="264"/>
      <c r="AS107" s="265"/>
      <c r="AT107" s="265"/>
      <c r="AU107" s="264"/>
      <c r="AV107" s="265"/>
      <c r="AW107" s="264"/>
      <c r="AX107" s="265"/>
      <c r="AY107" s="264"/>
      <c r="AZ107" s="265"/>
      <c r="BA107" s="264"/>
      <c r="BB107" s="265"/>
      <c r="BC107" s="264"/>
      <c r="BD107" s="265"/>
      <c r="BE107" s="264"/>
      <c r="BF107" s="265"/>
      <c r="BG107" s="264"/>
      <c r="BH107" s="265"/>
      <c r="BI107" s="264">
        <f t="shared" si="10"/>
        <v>0</v>
      </c>
      <c r="BJ107" s="268"/>
      <c r="BK107" s="269"/>
      <c r="BL107" s="269"/>
      <c r="BM107" s="270"/>
    </row>
    <row r="108" spans="1:65" s="282" customFormat="1" ht="18" x14ac:dyDescent="0.25">
      <c r="A108" s="246" t="s">
        <v>899</v>
      </c>
      <c r="B108" s="283" t="s">
        <v>1583</v>
      </c>
      <c r="C108" s="268"/>
      <c r="D108" s="281">
        <f>SUM(GenFundExp2!I313:I316)</f>
        <v>0</v>
      </c>
      <c r="E108" s="265"/>
      <c r="F108" s="281">
        <f>SUM(CharterFundExp2!I313:I316)</f>
        <v>0</v>
      </c>
      <c r="G108" s="265"/>
      <c r="H108" s="264"/>
      <c r="I108" s="265"/>
      <c r="J108" s="264"/>
      <c r="K108" s="265"/>
      <c r="L108" s="281"/>
      <c r="M108" s="265"/>
      <c r="N108" s="264"/>
      <c r="O108" s="265"/>
      <c r="P108" s="264"/>
      <c r="Q108" s="265"/>
      <c r="R108" s="264"/>
      <c r="S108" s="265"/>
      <c r="T108" s="264"/>
      <c r="U108" s="265"/>
      <c r="V108" s="264"/>
      <c r="W108" s="265"/>
      <c r="X108" s="264"/>
      <c r="Y108" s="265"/>
      <c r="Z108" s="265"/>
      <c r="AA108" s="264"/>
      <c r="AB108" s="265"/>
      <c r="AC108" s="264"/>
      <c r="AD108" s="264"/>
      <c r="AE108" s="265"/>
      <c r="AF108" s="264"/>
      <c r="AG108" s="265"/>
      <c r="AH108" s="264"/>
      <c r="AI108" s="265"/>
      <c r="AJ108" s="264"/>
      <c r="AK108" s="265"/>
      <c r="AL108" s="264"/>
      <c r="AM108" s="265"/>
      <c r="AN108" s="264"/>
      <c r="AO108" s="265"/>
      <c r="AP108" s="264"/>
      <c r="AQ108" s="265"/>
      <c r="AR108" s="264"/>
      <c r="AS108" s="265"/>
      <c r="AT108" s="265"/>
      <c r="AU108" s="264"/>
      <c r="AV108" s="265"/>
      <c r="AW108" s="264"/>
      <c r="AX108" s="265"/>
      <c r="AY108" s="264"/>
      <c r="AZ108" s="265"/>
      <c r="BA108" s="264"/>
      <c r="BB108" s="265"/>
      <c r="BC108" s="264"/>
      <c r="BD108" s="265"/>
      <c r="BE108" s="264"/>
      <c r="BF108" s="265"/>
      <c r="BG108" s="264"/>
      <c r="BH108" s="265"/>
      <c r="BI108" s="264">
        <f t="shared" si="10"/>
        <v>0</v>
      </c>
      <c r="BJ108" s="268"/>
      <c r="BK108" s="269"/>
      <c r="BL108" s="269"/>
      <c r="BM108" s="270"/>
    </row>
    <row r="109" spans="1:65" s="282" customFormat="1" ht="18.75" thickBot="1" x14ac:dyDescent="0.3">
      <c r="A109" s="246" t="s">
        <v>900</v>
      </c>
      <c r="B109" s="283" t="s">
        <v>901</v>
      </c>
      <c r="C109" s="268"/>
      <c r="D109" s="281">
        <f>SUM(GenFundExp2!I317:I322)</f>
        <v>0</v>
      </c>
      <c r="E109" s="265"/>
      <c r="F109" s="281">
        <f>SUM(CharterFundExp2!I317:I322)</f>
        <v>0</v>
      </c>
      <c r="G109" s="265"/>
      <c r="H109" s="264"/>
      <c r="I109" s="265"/>
      <c r="J109" s="264"/>
      <c r="K109" s="265"/>
      <c r="L109" s="281"/>
      <c r="M109" s="265"/>
      <c r="N109" s="264"/>
      <c r="O109" s="265"/>
      <c r="P109" s="264"/>
      <c r="Q109" s="265"/>
      <c r="R109" s="264"/>
      <c r="S109" s="265"/>
      <c r="T109" s="264"/>
      <c r="U109" s="265"/>
      <c r="V109" s="264"/>
      <c r="W109" s="265"/>
      <c r="X109" s="264"/>
      <c r="Y109" s="265"/>
      <c r="Z109" s="265"/>
      <c r="AA109" s="264"/>
      <c r="AB109" s="265"/>
      <c r="AC109" s="264"/>
      <c r="AD109" s="264"/>
      <c r="AE109" s="265"/>
      <c r="AF109" s="264"/>
      <c r="AG109" s="265"/>
      <c r="AH109" s="264"/>
      <c r="AI109" s="265"/>
      <c r="AJ109" s="264"/>
      <c r="AK109" s="265"/>
      <c r="AL109" s="264"/>
      <c r="AM109" s="265"/>
      <c r="AN109" s="264"/>
      <c r="AO109" s="265"/>
      <c r="AP109" s="264"/>
      <c r="AQ109" s="265"/>
      <c r="AR109" s="264"/>
      <c r="AS109" s="265"/>
      <c r="AT109" s="265"/>
      <c r="AU109" s="264"/>
      <c r="AV109" s="265"/>
      <c r="AW109" s="264"/>
      <c r="AX109" s="265"/>
      <c r="AY109" s="264"/>
      <c r="AZ109" s="265"/>
      <c r="BA109" s="264"/>
      <c r="BB109" s="265"/>
      <c r="BC109" s="264"/>
      <c r="BD109" s="265"/>
      <c r="BE109" s="264"/>
      <c r="BF109" s="265"/>
      <c r="BG109" s="264"/>
      <c r="BH109" s="265"/>
      <c r="BI109" s="264">
        <f t="shared" si="10"/>
        <v>0</v>
      </c>
      <c r="BJ109" s="268"/>
      <c r="BK109" s="269"/>
      <c r="BL109" s="269"/>
      <c r="BM109" s="270"/>
    </row>
    <row r="110" spans="1:65" s="282" customFormat="1" ht="18.75" thickBot="1" x14ac:dyDescent="0.3">
      <c r="A110" s="271" t="s">
        <v>774</v>
      </c>
      <c r="B110" s="279"/>
      <c r="C110" s="275"/>
      <c r="D110" s="274">
        <f>SUM(D104:D109)</f>
        <v>0</v>
      </c>
      <c r="E110" s="275"/>
      <c r="F110" s="274">
        <f>SUM(F104:F109)</f>
        <v>0</v>
      </c>
      <c r="G110" s="275"/>
      <c r="H110" s="274">
        <f>SUM(H104:H109)</f>
        <v>0</v>
      </c>
      <c r="I110" s="275"/>
      <c r="J110" s="274">
        <f>SUM(J104:J109)</f>
        <v>0</v>
      </c>
      <c r="K110" s="275"/>
      <c r="L110" s="274">
        <f>SUM(L104:L109)</f>
        <v>0</v>
      </c>
      <c r="M110" s="275"/>
      <c r="N110" s="274">
        <f>SUM(N104:N109)</f>
        <v>0</v>
      </c>
      <c r="O110" s="275"/>
      <c r="P110" s="274">
        <f>SUM(P104:P109)</f>
        <v>0</v>
      </c>
      <c r="Q110" s="275"/>
      <c r="R110" s="274">
        <f>SUM(R104:R109)</f>
        <v>0</v>
      </c>
      <c r="S110" s="275"/>
      <c r="T110" s="274">
        <f>SUM(T104:T109)</f>
        <v>0</v>
      </c>
      <c r="U110" s="275"/>
      <c r="V110" s="274">
        <f>SUM(V104:V109)</f>
        <v>0</v>
      </c>
      <c r="W110" s="275"/>
      <c r="X110" s="274">
        <f>SUM(X104:X109)</f>
        <v>0</v>
      </c>
      <c r="Y110" s="275"/>
      <c r="Z110" s="275"/>
      <c r="AA110" s="274">
        <f>SUM(AA104:AA109)</f>
        <v>0</v>
      </c>
      <c r="AB110" s="275"/>
      <c r="AC110" s="274">
        <f>SUM(AC104:AC109)</f>
        <v>0</v>
      </c>
      <c r="AD110" s="274">
        <f>SUM(AD104:AD109)</f>
        <v>0</v>
      </c>
      <c r="AE110" s="275"/>
      <c r="AF110" s="274">
        <f>SUM(AF104:AF109)</f>
        <v>0</v>
      </c>
      <c r="AG110" s="275"/>
      <c r="AH110" s="274">
        <f>SUM(AH104:AH109)</f>
        <v>0</v>
      </c>
      <c r="AI110" s="275"/>
      <c r="AJ110" s="274">
        <f>SUM(AJ104:AJ109)</f>
        <v>0</v>
      </c>
      <c r="AK110" s="275"/>
      <c r="AL110" s="274">
        <f>SUM(AL104:AL109)</f>
        <v>0</v>
      </c>
      <c r="AM110" s="275"/>
      <c r="AN110" s="274">
        <f>SUM(AN104:AN109)</f>
        <v>0</v>
      </c>
      <c r="AO110" s="275"/>
      <c r="AP110" s="274">
        <f>SUM(AP104:AP109)</f>
        <v>0</v>
      </c>
      <c r="AQ110" s="275"/>
      <c r="AR110" s="274">
        <f>SUM(AR104:AR109)</f>
        <v>0</v>
      </c>
      <c r="AS110" s="275"/>
      <c r="AT110" s="275"/>
      <c r="AU110" s="274">
        <f>SUM(AU104:AU109)</f>
        <v>0</v>
      </c>
      <c r="AV110" s="275"/>
      <c r="AW110" s="274">
        <f>SUM(AW104:AW109)</f>
        <v>0</v>
      </c>
      <c r="AX110" s="275"/>
      <c r="AY110" s="274">
        <f>SUM(AY104:AY109)</f>
        <v>0</v>
      </c>
      <c r="AZ110" s="275"/>
      <c r="BA110" s="274">
        <f>SUM(BA104:BA109)</f>
        <v>0</v>
      </c>
      <c r="BB110" s="275"/>
      <c r="BC110" s="274">
        <f>SUM(BC104:BC109)</f>
        <v>0</v>
      </c>
      <c r="BD110" s="275"/>
      <c r="BE110" s="274">
        <f>SUM(BE104:BE109)</f>
        <v>0</v>
      </c>
      <c r="BF110" s="275"/>
      <c r="BG110" s="274">
        <f>SUM(BG104:BG109)</f>
        <v>0</v>
      </c>
      <c r="BH110" s="275"/>
      <c r="BI110" s="274">
        <f t="shared" si="10"/>
        <v>0</v>
      </c>
      <c r="BJ110" s="275"/>
      <c r="BK110" s="276"/>
      <c r="BL110" s="276"/>
      <c r="BM110" s="270"/>
    </row>
    <row r="111" spans="1:65" s="282" customFormat="1" ht="18" x14ac:dyDescent="0.25">
      <c r="A111" s="246"/>
      <c r="B111" s="262"/>
      <c r="C111" s="268"/>
      <c r="D111" s="264"/>
      <c r="E111" s="265"/>
      <c r="F111" s="264"/>
      <c r="G111" s="265"/>
      <c r="H111" s="264"/>
      <c r="I111" s="265"/>
      <c r="J111" s="264"/>
      <c r="K111" s="265"/>
      <c r="L111" s="281"/>
      <c r="M111" s="265"/>
      <c r="N111" s="264"/>
      <c r="O111" s="265"/>
      <c r="P111" s="264"/>
      <c r="Q111" s="265"/>
      <c r="R111" s="264"/>
      <c r="S111" s="265"/>
      <c r="T111" s="264"/>
      <c r="U111" s="265"/>
      <c r="V111" s="264"/>
      <c r="W111" s="265"/>
      <c r="X111" s="264"/>
      <c r="Y111" s="265"/>
      <c r="Z111" s="265"/>
      <c r="AA111" s="264"/>
      <c r="AB111" s="265"/>
      <c r="AC111" s="264"/>
      <c r="AD111" s="264"/>
      <c r="AE111" s="265"/>
      <c r="AF111" s="264"/>
      <c r="AG111" s="265"/>
      <c r="AH111" s="264"/>
      <c r="AI111" s="265"/>
      <c r="AJ111" s="264"/>
      <c r="AK111" s="265"/>
      <c r="AL111" s="264"/>
      <c r="AM111" s="265"/>
      <c r="AN111" s="264"/>
      <c r="AO111" s="265"/>
      <c r="AP111" s="264"/>
      <c r="AQ111" s="265"/>
      <c r="AR111" s="264"/>
      <c r="AS111" s="265"/>
      <c r="AT111" s="265"/>
      <c r="AU111" s="264"/>
      <c r="AV111" s="265"/>
      <c r="AW111" s="264"/>
      <c r="AX111" s="265"/>
      <c r="AY111" s="264"/>
      <c r="AZ111" s="265"/>
      <c r="BA111" s="264"/>
      <c r="BB111" s="265"/>
      <c r="BC111" s="264"/>
      <c r="BD111" s="265"/>
      <c r="BE111" s="264"/>
      <c r="BF111" s="265"/>
      <c r="BG111" s="264"/>
      <c r="BH111" s="265"/>
      <c r="BI111" s="270"/>
      <c r="BJ111" s="268"/>
      <c r="BK111" s="269"/>
      <c r="BL111" s="269"/>
      <c r="BM111" s="270"/>
    </row>
    <row r="112" spans="1:65" s="282" customFormat="1" ht="18" x14ac:dyDescent="0.25">
      <c r="A112" s="246" t="s">
        <v>775</v>
      </c>
      <c r="B112" s="262"/>
      <c r="C112" s="268"/>
      <c r="D112" s="264"/>
      <c r="E112" s="265"/>
      <c r="F112" s="264"/>
      <c r="G112" s="265"/>
      <c r="H112" s="264"/>
      <c r="I112" s="265"/>
      <c r="J112" s="264"/>
      <c r="K112" s="265"/>
      <c r="L112" s="281"/>
      <c r="M112" s="265"/>
      <c r="N112" s="264"/>
      <c r="O112" s="265"/>
      <c r="P112" s="264"/>
      <c r="Q112" s="265"/>
      <c r="R112" s="264"/>
      <c r="S112" s="265"/>
      <c r="T112" s="264"/>
      <c r="U112" s="265"/>
      <c r="V112" s="264"/>
      <c r="W112" s="265"/>
      <c r="X112" s="264"/>
      <c r="Y112" s="265"/>
      <c r="Z112" s="265"/>
      <c r="AA112" s="264"/>
      <c r="AB112" s="265"/>
      <c r="AC112" s="264"/>
      <c r="AD112" s="264"/>
      <c r="AE112" s="265"/>
      <c r="AF112" s="264"/>
      <c r="AG112" s="265"/>
      <c r="AH112" s="264"/>
      <c r="AI112" s="265"/>
      <c r="AJ112" s="264"/>
      <c r="AK112" s="265"/>
      <c r="AL112" s="264"/>
      <c r="AM112" s="265"/>
      <c r="AN112" s="264"/>
      <c r="AO112" s="265"/>
      <c r="AP112" s="264"/>
      <c r="AQ112" s="265"/>
      <c r="AR112" s="264"/>
      <c r="AS112" s="265"/>
      <c r="AT112" s="265"/>
      <c r="AU112" s="264"/>
      <c r="AV112" s="265"/>
      <c r="AW112" s="264"/>
      <c r="AX112" s="265"/>
      <c r="AY112" s="264"/>
      <c r="AZ112" s="265"/>
      <c r="BA112" s="264"/>
      <c r="BB112" s="265"/>
      <c r="BC112" s="264"/>
      <c r="BD112" s="265"/>
      <c r="BE112" s="264"/>
      <c r="BF112" s="265"/>
      <c r="BG112" s="264"/>
      <c r="BH112" s="265"/>
      <c r="BI112" s="270"/>
      <c r="BJ112" s="268"/>
      <c r="BK112" s="269"/>
      <c r="BL112" s="269"/>
      <c r="BM112" s="270"/>
    </row>
    <row r="113" spans="1:65" s="282" customFormat="1" ht="18" x14ac:dyDescent="0.25">
      <c r="A113" s="246" t="s">
        <v>23</v>
      </c>
      <c r="B113" s="283" t="s">
        <v>1577</v>
      </c>
      <c r="C113" s="268"/>
      <c r="D113" s="281">
        <f>SUM(GenFundExp2!I326+GenFundExp2!I327)</f>
        <v>0</v>
      </c>
      <c r="E113" s="265"/>
      <c r="F113" s="281">
        <f>SUM(CharterFundExp2!I326+CharterFundExp2!I327)</f>
        <v>0</v>
      </c>
      <c r="G113" s="265"/>
      <c r="H113" s="264"/>
      <c r="I113" s="265"/>
      <c r="J113" s="264"/>
      <c r="K113" s="265"/>
      <c r="L113" s="281"/>
      <c r="M113" s="265"/>
      <c r="N113" s="264"/>
      <c r="O113" s="265"/>
      <c r="P113" s="264"/>
      <c r="Q113" s="265"/>
      <c r="R113" s="264"/>
      <c r="S113" s="265"/>
      <c r="T113" s="264"/>
      <c r="U113" s="265"/>
      <c r="V113" s="264"/>
      <c r="W113" s="265"/>
      <c r="X113" s="264"/>
      <c r="Y113" s="265"/>
      <c r="Z113" s="265"/>
      <c r="AA113" s="264"/>
      <c r="AB113" s="265"/>
      <c r="AC113" s="264"/>
      <c r="AD113" s="264"/>
      <c r="AE113" s="265"/>
      <c r="AF113" s="264"/>
      <c r="AG113" s="265"/>
      <c r="AH113" s="264"/>
      <c r="AI113" s="265"/>
      <c r="AJ113" s="264"/>
      <c r="AK113" s="265"/>
      <c r="AL113" s="264"/>
      <c r="AM113" s="265"/>
      <c r="AN113" s="264"/>
      <c r="AO113" s="265"/>
      <c r="AP113" s="264"/>
      <c r="AQ113" s="265"/>
      <c r="AR113" s="264"/>
      <c r="AS113" s="265"/>
      <c r="AT113" s="265"/>
      <c r="AU113" s="264"/>
      <c r="AV113" s="265"/>
      <c r="AW113" s="264"/>
      <c r="AX113" s="265"/>
      <c r="AY113" s="264"/>
      <c r="AZ113" s="265"/>
      <c r="BA113" s="264"/>
      <c r="BB113" s="265"/>
      <c r="BC113" s="264"/>
      <c r="BD113" s="265"/>
      <c r="BE113" s="264"/>
      <c r="BF113" s="265"/>
      <c r="BG113" s="264"/>
      <c r="BH113" s="265"/>
      <c r="BI113" s="264">
        <f t="shared" ref="BI113:BI119" si="11">D113+F113+H113+J113+X113+N113+P113+R113+L113+T113+V113+AA113+AC113+AD113+AF113+AH113+AJ113+AL113+AN113+AP113+AR113+AU113+AW113+AY113+BA113+BC113+BE113+BG113</f>
        <v>0</v>
      </c>
      <c r="BJ113" s="268"/>
      <c r="BK113" s="269"/>
      <c r="BL113" s="269"/>
      <c r="BM113" s="270"/>
    </row>
    <row r="114" spans="1:65" s="282" customFormat="1" ht="18" x14ac:dyDescent="0.25">
      <c r="A114" s="246" t="s">
        <v>24</v>
      </c>
      <c r="B114" s="283" t="s">
        <v>1578</v>
      </c>
      <c r="C114" s="268"/>
      <c r="D114" s="281">
        <f>SUM(GenFundExp2!I328+GenFundExp2!I329)</f>
        <v>0</v>
      </c>
      <c r="E114" s="265"/>
      <c r="F114" s="281">
        <f>SUM(CharterFundExp2!I328+CharterFundExp2!I329)</f>
        <v>0</v>
      </c>
      <c r="G114" s="265"/>
      <c r="H114" s="264"/>
      <c r="I114" s="265"/>
      <c r="J114" s="264"/>
      <c r="K114" s="265"/>
      <c r="L114" s="281"/>
      <c r="M114" s="265"/>
      <c r="N114" s="264"/>
      <c r="O114" s="265"/>
      <c r="P114" s="264"/>
      <c r="Q114" s="265"/>
      <c r="R114" s="264"/>
      <c r="S114" s="265"/>
      <c r="T114" s="264"/>
      <c r="U114" s="265"/>
      <c r="V114" s="264"/>
      <c r="W114" s="265"/>
      <c r="X114" s="264"/>
      <c r="Y114" s="265"/>
      <c r="Z114" s="265"/>
      <c r="AA114" s="264"/>
      <c r="AB114" s="265"/>
      <c r="AC114" s="264"/>
      <c r="AD114" s="264"/>
      <c r="AE114" s="265"/>
      <c r="AF114" s="264"/>
      <c r="AG114" s="265"/>
      <c r="AH114" s="264"/>
      <c r="AI114" s="265"/>
      <c r="AJ114" s="264"/>
      <c r="AK114" s="265"/>
      <c r="AL114" s="264"/>
      <c r="AM114" s="265"/>
      <c r="AN114" s="264"/>
      <c r="AO114" s="265"/>
      <c r="AP114" s="264"/>
      <c r="AQ114" s="265"/>
      <c r="AR114" s="264"/>
      <c r="AS114" s="265"/>
      <c r="AT114" s="265"/>
      <c r="AU114" s="264"/>
      <c r="AV114" s="265"/>
      <c r="AW114" s="264"/>
      <c r="AX114" s="265"/>
      <c r="AY114" s="264"/>
      <c r="AZ114" s="265"/>
      <c r="BA114" s="264"/>
      <c r="BB114" s="265"/>
      <c r="BC114" s="264"/>
      <c r="BD114" s="265"/>
      <c r="BE114" s="264"/>
      <c r="BF114" s="265"/>
      <c r="BG114" s="264"/>
      <c r="BH114" s="265"/>
      <c r="BI114" s="264">
        <f t="shared" si="11"/>
        <v>0</v>
      </c>
      <c r="BJ114" s="268"/>
      <c r="BK114" s="269"/>
      <c r="BL114" s="269"/>
      <c r="BM114" s="270"/>
    </row>
    <row r="115" spans="1:65" s="282" customFormat="1" ht="36" x14ac:dyDescent="0.25">
      <c r="A115" s="246" t="s">
        <v>25</v>
      </c>
      <c r="B115" s="283" t="s">
        <v>773</v>
      </c>
      <c r="C115" s="268"/>
      <c r="D115" s="281">
        <f>SUM(GenFundExp2!I330:I340)</f>
        <v>0</v>
      </c>
      <c r="E115" s="265"/>
      <c r="F115" s="281">
        <f>SUM(CharterFundExp2!I330:I340)</f>
        <v>0</v>
      </c>
      <c r="G115" s="265"/>
      <c r="H115" s="264"/>
      <c r="I115" s="265"/>
      <c r="J115" s="264"/>
      <c r="K115" s="265"/>
      <c r="L115" s="281"/>
      <c r="M115" s="265"/>
      <c r="N115" s="264"/>
      <c r="O115" s="265"/>
      <c r="P115" s="264"/>
      <c r="Q115" s="265"/>
      <c r="R115" s="264"/>
      <c r="S115" s="265"/>
      <c r="T115" s="264"/>
      <c r="U115" s="265"/>
      <c r="V115" s="264"/>
      <c r="W115" s="265"/>
      <c r="X115" s="264"/>
      <c r="Y115" s="265"/>
      <c r="Z115" s="265"/>
      <c r="AA115" s="264"/>
      <c r="AB115" s="265"/>
      <c r="AC115" s="264"/>
      <c r="AD115" s="264"/>
      <c r="AE115" s="265"/>
      <c r="AF115" s="264"/>
      <c r="AG115" s="265"/>
      <c r="AH115" s="264"/>
      <c r="AI115" s="265"/>
      <c r="AJ115" s="264"/>
      <c r="AK115" s="265"/>
      <c r="AL115" s="264"/>
      <c r="AM115" s="265"/>
      <c r="AN115" s="264"/>
      <c r="AO115" s="265"/>
      <c r="AP115" s="264"/>
      <c r="AQ115" s="265"/>
      <c r="AR115" s="264"/>
      <c r="AS115" s="265"/>
      <c r="AT115" s="265"/>
      <c r="AU115" s="264"/>
      <c r="AV115" s="265"/>
      <c r="AW115" s="264"/>
      <c r="AX115" s="265"/>
      <c r="AY115" s="264"/>
      <c r="AZ115" s="265"/>
      <c r="BA115" s="264"/>
      <c r="BB115" s="265"/>
      <c r="BC115" s="264"/>
      <c r="BD115" s="265"/>
      <c r="BE115" s="264"/>
      <c r="BF115" s="265"/>
      <c r="BG115" s="264"/>
      <c r="BH115" s="265"/>
      <c r="BI115" s="264">
        <f t="shared" si="11"/>
        <v>0</v>
      </c>
      <c r="BJ115" s="268"/>
      <c r="BK115" s="269"/>
      <c r="BL115" s="269"/>
      <c r="BM115" s="270"/>
    </row>
    <row r="116" spans="1:65" s="282" customFormat="1" ht="18" x14ac:dyDescent="0.25">
      <c r="A116" s="246" t="s">
        <v>898</v>
      </c>
      <c r="B116" s="283" t="s">
        <v>1582</v>
      </c>
      <c r="C116" s="268"/>
      <c r="D116" s="281">
        <f>SUM(GenFundExp2!I341:I342)</f>
        <v>0</v>
      </c>
      <c r="E116" s="265"/>
      <c r="F116" s="281">
        <f>SUM(CharterFundExp2!I341:I342)</f>
        <v>0</v>
      </c>
      <c r="G116" s="265"/>
      <c r="H116" s="264"/>
      <c r="I116" s="265"/>
      <c r="J116" s="264"/>
      <c r="K116" s="265"/>
      <c r="L116" s="281"/>
      <c r="M116" s="265"/>
      <c r="N116" s="264"/>
      <c r="O116" s="265"/>
      <c r="P116" s="264"/>
      <c r="Q116" s="265"/>
      <c r="R116" s="264"/>
      <c r="S116" s="265"/>
      <c r="T116" s="264"/>
      <c r="U116" s="265"/>
      <c r="V116" s="264"/>
      <c r="W116" s="265"/>
      <c r="X116" s="264"/>
      <c r="Y116" s="265"/>
      <c r="Z116" s="265"/>
      <c r="AA116" s="264"/>
      <c r="AB116" s="265"/>
      <c r="AC116" s="264"/>
      <c r="AD116" s="264"/>
      <c r="AE116" s="265"/>
      <c r="AF116" s="264"/>
      <c r="AG116" s="265"/>
      <c r="AH116" s="264"/>
      <c r="AI116" s="265"/>
      <c r="AJ116" s="264"/>
      <c r="AK116" s="265"/>
      <c r="AL116" s="264"/>
      <c r="AM116" s="265"/>
      <c r="AN116" s="264"/>
      <c r="AO116" s="265"/>
      <c r="AP116" s="264"/>
      <c r="AQ116" s="265"/>
      <c r="AR116" s="264"/>
      <c r="AS116" s="265"/>
      <c r="AT116" s="265"/>
      <c r="AU116" s="264"/>
      <c r="AV116" s="265"/>
      <c r="AW116" s="264"/>
      <c r="AX116" s="265"/>
      <c r="AY116" s="264"/>
      <c r="AZ116" s="265"/>
      <c r="BA116" s="264"/>
      <c r="BB116" s="265"/>
      <c r="BC116" s="264"/>
      <c r="BD116" s="265"/>
      <c r="BE116" s="264"/>
      <c r="BF116" s="265"/>
      <c r="BG116" s="264"/>
      <c r="BH116" s="265"/>
      <c r="BI116" s="264">
        <f t="shared" si="11"/>
        <v>0</v>
      </c>
      <c r="BJ116" s="268"/>
      <c r="BK116" s="269"/>
      <c r="BL116" s="269"/>
      <c r="BM116" s="270"/>
    </row>
    <row r="117" spans="1:65" s="282" customFormat="1" ht="18" x14ac:dyDescent="0.25">
      <c r="A117" s="246" t="s">
        <v>899</v>
      </c>
      <c r="B117" s="283" t="s">
        <v>1583</v>
      </c>
      <c r="C117" s="268"/>
      <c r="D117" s="281">
        <f>SUM(GenFundExp2!I343:I346)</f>
        <v>0</v>
      </c>
      <c r="E117" s="265"/>
      <c r="F117" s="281">
        <f>SUM(CharterFundExp2!I343:I346)</f>
        <v>0</v>
      </c>
      <c r="G117" s="265"/>
      <c r="H117" s="264"/>
      <c r="I117" s="265"/>
      <c r="J117" s="264"/>
      <c r="K117" s="265"/>
      <c r="L117" s="281"/>
      <c r="M117" s="265"/>
      <c r="N117" s="264"/>
      <c r="O117" s="265"/>
      <c r="P117" s="264"/>
      <c r="Q117" s="265"/>
      <c r="R117" s="264"/>
      <c r="S117" s="265"/>
      <c r="T117" s="264"/>
      <c r="U117" s="265"/>
      <c r="V117" s="264"/>
      <c r="W117" s="265"/>
      <c r="X117" s="264"/>
      <c r="Y117" s="265"/>
      <c r="Z117" s="265"/>
      <c r="AA117" s="264"/>
      <c r="AB117" s="265"/>
      <c r="AC117" s="264"/>
      <c r="AD117" s="264"/>
      <c r="AE117" s="265"/>
      <c r="AF117" s="264"/>
      <c r="AG117" s="265"/>
      <c r="AH117" s="264"/>
      <c r="AI117" s="265"/>
      <c r="AJ117" s="264"/>
      <c r="AK117" s="265"/>
      <c r="AL117" s="264"/>
      <c r="AM117" s="265"/>
      <c r="AN117" s="264"/>
      <c r="AO117" s="265"/>
      <c r="AP117" s="264"/>
      <c r="AQ117" s="265"/>
      <c r="AR117" s="264"/>
      <c r="AS117" s="265"/>
      <c r="AT117" s="265"/>
      <c r="AU117" s="264"/>
      <c r="AV117" s="265"/>
      <c r="AW117" s="264"/>
      <c r="AX117" s="265"/>
      <c r="AY117" s="264"/>
      <c r="AZ117" s="265"/>
      <c r="BA117" s="264"/>
      <c r="BB117" s="265"/>
      <c r="BC117" s="264"/>
      <c r="BD117" s="265"/>
      <c r="BE117" s="264"/>
      <c r="BF117" s="265"/>
      <c r="BG117" s="264"/>
      <c r="BH117" s="265"/>
      <c r="BI117" s="264">
        <f t="shared" si="11"/>
        <v>0</v>
      </c>
      <c r="BJ117" s="268"/>
      <c r="BK117" s="269"/>
      <c r="BL117" s="269"/>
      <c r="BM117" s="270"/>
    </row>
    <row r="118" spans="1:65" s="282" customFormat="1" ht="18.75" thickBot="1" x14ac:dyDescent="0.3">
      <c r="A118" s="246" t="s">
        <v>900</v>
      </c>
      <c r="B118" s="283" t="s">
        <v>901</v>
      </c>
      <c r="C118" s="268"/>
      <c r="D118" s="281">
        <f>SUM(GenFundExp2!I347:I352)</f>
        <v>0</v>
      </c>
      <c r="E118" s="265"/>
      <c r="F118" s="281">
        <f>SUM(CharterFundExp2!I347:I352)</f>
        <v>0</v>
      </c>
      <c r="G118" s="265"/>
      <c r="H118" s="264"/>
      <c r="I118" s="265"/>
      <c r="J118" s="264"/>
      <c r="K118" s="265"/>
      <c r="L118" s="281"/>
      <c r="M118" s="265"/>
      <c r="N118" s="264"/>
      <c r="O118" s="265"/>
      <c r="P118" s="264"/>
      <c r="Q118" s="265"/>
      <c r="R118" s="264"/>
      <c r="S118" s="265"/>
      <c r="T118" s="264"/>
      <c r="U118" s="265"/>
      <c r="V118" s="264"/>
      <c r="W118" s="265"/>
      <c r="X118" s="264"/>
      <c r="Y118" s="265"/>
      <c r="Z118" s="265"/>
      <c r="AA118" s="264"/>
      <c r="AB118" s="265"/>
      <c r="AC118" s="264"/>
      <c r="AD118" s="264"/>
      <c r="AE118" s="265"/>
      <c r="AF118" s="264"/>
      <c r="AG118" s="265"/>
      <c r="AH118" s="264"/>
      <c r="AI118" s="265"/>
      <c r="AJ118" s="264"/>
      <c r="AK118" s="265"/>
      <c r="AL118" s="264"/>
      <c r="AM118" s="265"/>
      <c r="AN118" s="264"/>
      <c r="AO118" s="265"/>
      <c r="AP118" s="264"/>
      <c r="AQ118" s="265"/>
      <c r="AR118" s="264"/>
      <c r="AS118" s="265"/>
      <c r="AT118" s="265"/>
      <c r="AU118" s="264"/>
      <c r="AV118" s="265"/>
      <c r="AW118" s="264"/>
      <c r="AX118" s="265"/>
      <c r="AY118" s="264"/>
      <c r="AZ118" s="265"/>
      <c r="BA118" s="264"/>
      <c r="BB118" s="265"/>
      <c r="BC118" s="264"/>
      <c r="BD118" s="265"/>
      <c r="BE118" s="264"/>
      <c r="BF118" s="265"/>
      <c r="BG118" s="264"/>
      <c r="BH118" s="265"/>
      <c r="BI118" s="264">
        <f t="shared" si="11"/>
        <v>0</v>
      </c>
      <c r="BJ118" s="268"/>
      <c r="BK118" s="269"/>
      <c r="BL118" s="269"/>
      <c r="BM118" s="270"/>
    </row>
    <row r="119" spans="1:65" s="282" customFormat="1" ht="18.75" thickBot="1" x14ac:dyDescent="0.3">
      <c r="A119" s="271" t="s">
        <v>776</v>
      </c>
      <c r="B119" s="279"/>
      <c r="C119" s="275"/>
      <c r="D119" s="274">
        <f>SUM(D113:D118)</f>
        <v>0</v>
      </c>
      <c r="E119" s="275"/>
      <c r="F119" s="274">
        <f>SUM(F113:F118)</f>
        <v>0</v>
      </c>
      <c r="G119" s="275"/>
      <c r="H119" s="274">
        <f>SUM(H113:H118)</f>
        <v>0</v>
      </c>
      <c r="I119" s="275"/>
      <c r="J119" s="274">
        <f>SUM(J113:J118)</f>
        <v>0</v>
      </c>
      <c r="K119" s="275"/>
      <c r="L119" s="274">
        <f>SUM(L113:L118)</f>
        <v>0</v>
      </c>
      <c r="M119" s="275"/>
      <c r="N119" s="274">
        <f>SUM(N113:N118)</f>
        <v>0</v>
      </c>
      <c r="O119" s="275"/>
      <c r="P119" s="274">
        <f>SUM(P113:P118)</f>
        <v>0</v>
      </c>
      <c r="Q119" s="275"/>
      <c r="R119" s="274">
        <f>SUM(R113:R118)</f>
        <v>0</v>
      </c>
      <c r="S119" s="275"/>
      <c r="T119" s="274">
        <f>SUM(T113:T118)</f>
        <v>0</v>
      </c>
      <c r="U119" s="275"/>
      <c r="V119" s="274">
        <f>SUM(V113:V118)</f>
        <v>0</v>
      </c>
      <c r="W119" s="275"/>
      <c r="X119" s="274">
        <f>SUM(X113:X118)</f>
        <v>0</v>
      </c>
      <c r="Y119" s="275"/>
      <c r="Z119" s="275"/>
      <c r="AA119" s="274">
        <f>SUM(AA113:AA118)</f>
        <v>0</v>
      </c>
      <c r="AB119" s="275"/>
      <c r="AC119" s="274">
        <f>SUM(AC113:AC118)</f>
        <v>0</v>
      </c>
      <c r="AD119" s="274">
        <f>SUM(AD113:AD118)</f>
        <v>0</v>
      </c>
      <c r="AE119" s="275"/>
      <c r="AF119" s="274">
        <f>SUM(AF113:AF118)</f>
        <v>0</v>
      </c>
      <c r="AG119" s="275"/>
      <c r="AH119" s="274">
        <f>SUM(AH113:AH118)</f>
        <v>0</v>
      </c>
      <c r="AI119" s="275"/>
      <c r="AJ119" s="274">
        <f>SUM(AJ113:AJ118)</f>
        <v>0</v>
      </c>
      <c r="AK119" s="275"/>
      <c r="AL119" s="274">
        <f>SUM(AL113:AL118)</f>
        <v>0</v>
      </c>
      <c r="AM119" s="275"/>
      <c r="AN119" s="274">
        <f>SUM(AN113:AN118)</f>
        <v>0</v>
      </c>
      <c r="AO119" s="275"/>
      <c r="AP119" s="274">
        <f>SUM(AP113:AP118)</f>
        <v>0</v>
      </c>
      <c r="AQ119" s="275"/>
      <c r="AR119" s="274">
        <f>SUM(AR113:AR118)</f>
        <v>0</v>
      </c>
      <c r="AS119" s="275"/>
      <c r="AT119" s="275"/>
      <c r="AU119" s="274">
        <f>SUM(AU113:AU118)</f>
        <v>0</v>
      </c>
      <c r="AV119" s="275"/>
      <c r="AW119" s="274">
        <f>SUM(AW113:AW118)</f>
        <v>0</v>
      </c>
      <c r="AX119" s="275"/>
      <c r="AY119" s="274">
        <f>SUM(AY113:AY118)</f>
        <v>0</v>
      </c>
      <c r="AZ119" s="275"/>
      <c r="BA119" s="274">
        <f>SUM(BA113:BA118)</f>
        <v>0</v>
      </c>
      <c r="BB119" s="275"/>
      <c r="BC119" s="274">
        <f>SUM(BC113:BC118)</f>
        <v>0</v>
      </c>
      <c r="BD119" s="275"/>
      <c r="BE119" s="274">
        <f>SUM(BE113:BE118)</f>
        <v>0</v>
      </c>
      <c r="BF119" s="275"/>
      <c r="BG119" s="274">
        <f>SUM(BG113:BG118)</f>
        <v>0</v>
      </c>
      <c r="BH119" s="275"/>
      <c r="BI119" s="274">
        <f t="shared" si="11"/>
        <v>0</v>
      </c>
      <c r="BJ119" s="275"/>
      <c r="BK119" s="276"/>
      <c r="BL119" s="276"/>
      <c r="BM119" s="270"/>
    </row>
    <row r="120" spans="1:65" s="282" customFormat="1" ht="18" x14ac:dyDescent="0.25">
      <c r="A120" s="246"/>
      <c r="B120" s="262"/>
      <c r="C120" s="268"/>
      <c r="D120" s="264"/>
      <c r="E120" s="265"/>
      <c r="F120" s="264"/>
      <c r="G120" s="265"/>
      <c r="H120" s="264"/>
      <c r="I120" s="265"/>
      <c r="J120" s="264"/>
      <c r="K120" s="265"/>
      <c r="L120" s="281"/>
      <c r="M120" s="265"/>
      <c r="N120" s="264"/>
      <c r="O120" s="265"/>
      <c r="P120" s="264"/>
      <c r="Q120" s="265"/>
      <c r="R120" s="264"/>
      <c r="S120" s="265"/>
      <c r="T120" s="264"/>
      <c r="U120" s="265"/>
      <c r="V120" s="264"/>
      <c r="W120" s="265"/>
      <c r="X120" s="264"/>
      <c r="Y120" s="265"/>
      <c r="Z120" s="265"/>
      <c r="AA120" s="264"/>
      <c r="AB120" s="265"/>
      <c r="AC120" s="264"/>
      <c r="AD120" s="264"/>
      <c r="AE120" s="265"/>
      <c r="AF120" s="264"/>
      <c r="AG120" s="265"/>
      <c r="AH120" s="264"/>
      <c r="AI120" s="265"/>
      <c r="AJ120" s="264"/>
      <c r="AK120" s="265"/>
      <c r="AL120" s="264"/>
      <c r="AM120" s="265"/>
      <c r="AN120" s="264"/>
      <c r="AO120" s="265"/>
      <c r="AP120" s="264"/>
      <c r="AQ120" s="265"/>
      <c r="AR120" s="264"/>
      <c r="AS120" s="265"/>
      <c r="AT120" s="265"/>
      <c r="AU120" s="264"/>
      <c r="AV120" s="265"/>
      <c r="AW120" s="264"/>
      <c r="AX120" s="265"/>
      <c r="AY120" s="264"/>
      <c r="AZ120" s="265"/>
      <c r="BA120" s="264"/>
      <c r="BB120" s="265"/>
      <c r="BC120" s="264"/>
      <c r="BD120" s="265"/>
      <c r="BE120" s="264"/>
      <c r="BF120" s="265"/>
      <c r="BG120" s="264"/>
      <c r="BH120" s="265"/>
      <c r="BI120" s="270"/>
      <c r="BJ120" s="268"/>
      <c r="BK120" s="269"/>
      <c r="BL120" s="269"/>
      <c r="BM120" s="270"/>
    </row>
    <row r="121" spans="1:65" s="282" customFormat="1" ht="33" customHeight="1" x14ac:dyDescent="0.25">
      <c r="A121" s="246" t="s">
        <v>777</v>
      </c>
      <c r="B121" s="262"/>
      <c r="C121" s="268"/>
      <c r="D121" s="264"/>
      <c r="E121" s="265"/>
      <c r="F121" s="264"/>
      <c r="G121" s="265"/>
      <c r="H121" s="264"/>
      <c r="I121" s="265"/>
      <c r="J121" s="264"/>
      <c r="K121" s="265"/>
      <c r="L121" s="281"/>
      <c r="M121" s="265"/>
      <c r="N121" s="264"/>
      <c r="O121" s="265"/>
      <c r="P121" s="264"/>
      <c r="Q121" s="265"/>
      <c r="R121" s="264"/>
      <c r="S121" s="265"/>
      <c r="T121" s="264"/>
      <c r="U121" s="265"/>
      <c r="V121" s="264"/>
      <c r="W121" s="265"/>
      <c r="X121" s="264"/>
      <c r="Y121" s="265"/>
      <c r="Z121" s="265"/>
      <c r="AA121" s="264"/>
      <c r="AB121" s="265"/>
      <c r="AC121" s="264"/>
      <c r="AD121" s="264"/>
      <c r="AE121" s="265"/>
      <c r="AF121" s="264"/>
      <c r="AG121" s="265"/>
      <c r="AH121" s="264"/>
      <c r="AI121" s="265"/>
      <c r="AJ121" s="264"/>
      <c r="AK121" s="265"/>
      <c r="AL121" s="264"/>
      <c r="AM121" s="265"/>
      <c r="AN121" s="264"/>
      <c r="AO121" s="265"/>
      <c r="AP121" s="264"/>
      <c r="AQ121" s="265"/>
      <c r="AR121" s="264"/>
      <c r="AS121" s="265"/>
      <c r="AT121" s="265"/>
      <c r="AU121" s="264"/>
      <c r="AV121" s="265"/>
      <c r="AW121" s="264"/>
      <c r="AX121" s="265"/>
      <c r="AY121" s="264"/>
      <c r="AZ121" s="265"/>
      <c r="BA121" s="264"/>
      <c r="BB121" s="265"/>
      <c r="BC121" s="264"/>
      <c r="BD121" s="265"/>
      <c r="BE121" s="264"/>
      <c r="BF121" s="265"/>
      <c r="BG121" s="264"/>
      <c r="BH121" s="265"/>
      <c r="BI121" s="270"/>
      <c r="BJ121" s="268"/>
      <c r="BK121" s="269"/>
      <c r="BL121" s="269"/>
      <c r="BM121" s="270"/>
    </row>
    <row r="122" spans="1:65" s="282" customFormat="1" ht="18" x14ac:dyDescent="0.25">
      <c r="A122" s="246" t="s">
        <v>23</v>
      </c>
      <c r="B122" s="283" t="s">
        <v>1577</v>
      </c>
      <c r="C122" s="268"/>
      <c r="D122" s="281">
        <f>SUM(GenFundExp2!I356+GenFundExp2!I357)</f>
        <v>0</v>
      </c>
      <c r="E122" s="265"/>
      <c r="F122" s="281">
        <f>SUM(CharterFundExp2!I356+CharterFundExp2!I357)</f>
        <v>0</v>
      </c>
      <c r="G122" s="265"/>
      <c r="H122" s="264"/>
      <c r="I122" s="265"/>
      <c r="J122" s="264"/>
      <c r="K122" s="265"/>
      <c r="L122" s="281"/>
      <c r="M122" s="265"/>
      <c r="N122" s="264"/>
      <c r="O122" s="265"/>
      <c r="P122" s="264"/>
      <c r="Q122" s="265"/>
      <c r="R122" s="264"/>
      <c r="S122" s="265"/>
      <c r="T122" s="264"/>
      <c r="U122" s="265"/>
      <c r="V122" s="264"/>
      <c r="W122" s="265"/>
      <c r="X122" s="264"/>
      <c r="Y122" s="265"/>
      <c r="Z122" s="265"/>
      <c r="AA122" s="264"/>
      <c r="AB122" s="265"/>
      <c r="AC122" s="264"/>
      <c r="AD122" s="264"/>
      <c r="AE122" s="265"/>
      <c r="AF122" s="264"/>
      <c r="AG122" s="265"/>
      <c r="AH122" s="264"/>
      <c r="AI122" s="265"/>
      <c r="AJ122" s="264"/>
      <c r="AK122" s="265"/>
      <c r="AL122" s="264"/>
      <c r="AM122" s="265"/>
      <c r="AN122" s="264">
        <f>FoodServ!I32+FoodServ!I33</f>
        <v>0</v>
      </c>
      <c r="AO122" s="265"/>
      <c r="AP122" s="264"/>
      <c r="AQ122" s="265"/>
      <c r="AR122" s="264"/>
      <c r="AS122" s="265"/>
      <c r="AT122" s="265"/>
      <c r="AU122" s="264"/>
      <c r="AV122" s="265"/>
      <c r="AW122" s="264"/>
      <c r="AX122" s="265"/>
      <c r="AY122" s="264"/>
      <c r="AZ122" s="265"/>
      <c r="BA122" s="264"/>
      <c r="BB122" s="265"/>
      <c r="BC122" s="264"/>
      <c r="BD122" s="265"/>
      <c r="BE122" s="264"/>
      <c r="BF122" s="265"/>
      <c r="BG122" s="264"/>
      <c r="BH122" s="265"/>
      <c r="BI122" s="264">
        <f t="shared" ref="BI122:BI128" si="12">D122+F122+H122+J122+X122+N122+P122+R122+L122+T122+V122+AA122+AC122+AD122+AF122+AH122+AJ122+AL122+AN122+AP122+AR122+AU122+AW122+AY122+BA122+BC122+BE122+BG122</f>
        <v>0</v>
      </c>
      <c r="BJ122" s="268"/>
      <c r="BK122" s="269"/>
      <c r="BL122" s="269"/>
      <c r="BM122" s="270"/>
    </row>
    <row r="123" spans="1:65" s="282" customFormat="1" ht="18" x14ac:dyDescent="0.25">
      <c r="A123" s="246" t="s">
        <v>24</v>
      </c>
      <c r="B123" s="283" t="s">
        <v>1578</v>
      </c>
      <c r="C123" s="268"/>
      <c r="D123" s="281">
        <f>SUM(GenFundExp2!I358+GenFundExp2!I359)</f>
        <v>0</v>
      </c>
      <c r="E123" s="265"/>
      <c r="F123" s="281">
        <f>SUM(CharterFundExp2!I358+CharterFundExp2!I359)</f>
        <v>0</v>
      </c>
      <c r="G123" s="265"/>
      <c r="H123" s="264"/>
      <c r="I123" s="265"/>
      <c r="J123" s="264"/>
      <c r="K123" s="265"/>
      <c r="L123" s="281"/>
      <c r="M123" s="265"/>
      <c r="N123" s="264"/>
      <c r="O123" s="265"/>
      <c r="P123" s="264"/>
      <c r="Q123" s="265"/>
      <c r="R123" s="264"/>
      <c r="S123" s="265"/>
      <c r="T123" s="264"/>
      <c r="U123" s="265"/>
      <c r="V123" s="264"/>
      <c r="W123" s="265"/>
      <c r="X123" s="264"/>
      <c r="Y123" s="265"/>
      <c r="Z123" s="265"/>
      <c r="AA123" s="264"/>
      <c r="AB123" s="265"/>
      <c r="AC123" s="264"/>
      <c r="AD123" s="264"/>
      <c r="AE123" s="265"/>
      <c r="AF123" s="264"/>
      <c r="AG123" s="265"/>
      <c r="AH123" s="264"/>
      <c r="AI123" s="265"/>
      <c r="AJ123" s="264"/>
      <c r="AK123" s="265"/>
      <c r="AL123" s="264"/>
      <c r="AM123" s="265"/>
      <c r="AN123" s="264">
        <f>FoodServ!I34+FoodServ!I35</f>
        <v>0</v>
      </c>
      <c r="AO123" s="265"/>
      <c r="AP123" s="264"/>
      <c r="AQ123" s="265"/>
      <c r="AR123" s="264"/>
      <c r="AS123" s="265"/>
      <c r="AT123" s="265"/>
      <c r="AU123" s="264"/>
      <c r="AV123" s="265"/>
      <c r="AW123" s="264"/>
      <c r="AX123" s="265"/>
      <c r="AY123" s="264"/>
      <c r="AZ123" s="265"/>
      <c r="BA123" s="264"/>
      <c r="BB123" s="265"/>
      <c r="BC123" s="264"/>
      <c r="BD123" s="265"/>
      <c r="BE123" s="264"/>
      <c r="BF123" s="265"/>
      <c r="BG123" s="264"/>
      <c r="BH123" s="265"/>
      <c r="BI123" s="264">
        <f t="shared" si="12"/>
        <v>0</v>
      </c>
      <c r="BJ123" s="268"/>
      <c r="BK123" s="269"/>
      <c r="BL123" s="269"/>
      <c r="BM123" s="270"/>
    </row>
    <row r="124" spans="1:65" s="282" customFormat="1" ht="36" x14ac:dyDescent="0.25">
      <c r="A124" s="246" t="s">
        <v>25</v>
      </c>
      <c r="B124" s="283" t="s">
        <v>773</v>
      </c>
      <c r="C124" s="268"/>
      <c r="D124" s="281">
        <f>SUM(GenFundExp2!I360:I370)</f>
        <v>0</v>
      </c>
      <c r="E124" s="265"/>
      <c r="F124" s="281">
        <f>SUM(CharterFundExp2!I360:I370)</f>
        <v>0</v>
      </c>
      <c r="G124" s="265"/>
      <c r="H124" s="705">
        <f>SUM(InsResv!I30)</f>
        <v>0</v>
      </c>
      <c r="I124" s="265"/>
      <c r="J124" s="264"/>
      <c r="K124" s="265"/>
      <c r="L124" s="281"/>
      <c r="M124" s="265"/>
      <c r="N124" s="264"/>
      <c r="O124" s="265"/>
      <c r="P124" s="264"/>
      <c r="Q124" s="265"/>
      <c r="R124" s="264"/>
      <c r="S124" s="265"/>
      <c r="T124" s="264"/>
      <c r="U124" s="265"/>
      <c r="V124" s="264"/>
      <c r="W124" s="265"/>
      <c r="X124" s="264"/>
      <c r="Y124" s="265"/>
      <c r="Z124" s="265"/>
      <c r="AA124" s="264"/>
      <c r="AB124" s="265"/>
      <c r="AC124" s="264"/>
      <c r="AD124" s="264"/>
      <c r="AE124" s="265"/>
      <c r="AF124" s="264"/>
      <c r="AG124" s="265"/>
      <c r="AH124" s="264"/>
      <c r="AI124" s="265"/>
      <c r="AJ124" s="264"/>
      <c r="AK124" s="265"/>
      <c r="AL124" s="264"/>
      <c r="AM124" s="265"/>
      <c r="AN124" s="264">
        <f>SUM(FoodServ!I36)</f>
        <v>0</v>
      </c>
      <c r="AO124" s="265"/>
      <c r="AP124" s="264"/>
      <c r="AQ124" s="265"/>
      <c r="AR124" s="264"/>
      <c r="AS124" s="265"/>
      <c r="AT124" s="265"/>
      <c r="AU124" s="264"/>
      <c r="AV124" s="265"/>
      <c r="AW124" s="264"/>
      <c r="AX124" s="265"/>
      <c r="AY124" s="264"/>
      <c r="AZ124" s="265"/>
      <c r="BA124" s="264"/>
      <c r="BB124" s="265"/>
      <c r="BC124" s="264"/>
      <c r="BD124" s="265"/>
      <c r="BE124" s="264"/>
      <c r="BF124" s="265"/>
      <c r="BG124" s="264"/>
      <c r="BH124" s="265"/>
      <c r="BI124" s="264">
        <f t="shared" si="12"/>
        <v>0</v>
      </c>
      <c r="BJ124" s="268"/>
      <c r="BK124" s="269"/>
      <c r="BL124" s="269"/>
      <c r="BM124" s="270"/>
    </row>
    <row r="125" spans="1:65" s="282" customFormat="1" ht="18" x14ac:dyDescent="0.25">
      <c r="A125" s="246" t="s">
        <v>898</v>
      </c>
      <c r="B125" s="283" t="s">
        <v>1582</v>
      </c>
      <c r="C125" s="268"/>
      <c r="D125" s="281">
        <f>SUM(GenFundExp2!I371:I373)</f>
        <v>0</v>
      </c>
      <c r="E125" s="265"/>
      <c r="F125" s="281">
        <f>SUM(CharterFundExp2!I371:I373)</f>
        <v>0</v>
      </c>
      <c r="G125" s="265"/>
      <c r="H125" s="264"/>
      <c r="I125" s="265"/>
      <c r="J125" s="264"/>
      <c r="K125" s="265"/>
      <c r="L125" s="281"/>
      <c r="M125" s="265"/>
      <c r="N125" s="264"/>
      <c r="O125" s="265"/>
      <c r="P125" s="264"/>
      <c r="Q125" s="265"/>
      <c r="R125" s="264"/>
      <c r="S125" s="265"/>
      <c r="T125" s="264"/>
      <c r="U125" s="265"/>
      <c r="V125" s="264"/>
      <c r="W125" s="265"/>
      <c r="X125" s="264"/>
      <c r="Y125" s="265"/>
      <c r="Z125" s="265"/>
      <c r="AA125" s="264"/>
      <c r="AB125" s="265"/>
      <c r="AC125" s="264"/>
      <c r="AD125" s="264"/>
      <c r="AE125" s="265"/>
      <c r="AF125" s="264"/>
      <c r="AG125" s="265"/>
      <c r="AH125" s="264"/>
      <c r="AI125" s="265"/>
      <c r="AJ125" s="264"/>
      <c r="AK125" s="265"/>
      <c r="AL125" s="264"/>
      <c r="AM125" s="265"/>
      <c r="AN125" s="264">
        <f>SUM(FoodServ!I37:I40)</f>
        <v>0</v>
      </c>
      <c r="AO125" s="265"/>
      <c r="AP125" s="264"/>
      <c r="AQ125" s="265"/>
      <c r="AR125" s="264"/>
      <c r="AS125" s="265"/>
      <c r="AT125" s="265"/>
      <c r="AU125" s="264"/>
      <c r="AV125" s="265"/>
      <c r="AW125" s="264"/>
      <c r="AX125" s="265"/>
      <c r="AY125" s="264"/>
      <c r="AZ125" s="265"/>
      <c r="BA125" s="264"/>
      <c r="BB125" s="265"/>
      <c r="BC125" s="264"/>
      <c r="BD125" s="265"/>
      <c r="BE125" s="264"/>
      <c r="BF125" s="265"/>
      <c r="BG125" s="264"/>
      <c r="BH125" s="265"/>
      <c r="BI125" s="264">
        <f t="shared" si="12"/>
        <v>0</v>
      </c>
      <c r="BJ125" s="268"/>
      <c r="BK125" s="269"/>
      <c r="BL125" s="269"/>
      <c r="BM125" s="270"/>
    </row>
    <row r="126" spans="1:65" s="282" customFormat="1" ht="18" x14ac:dyDescent="0.25">
      <c r="A126" s="246" t="s">
        <v>899</v>
      </c>
      <c r="B126" s="283" t="s">
        <v>1583</v>
      </c>
      <c r="C126" s="268"/>
      <c r="D126" s="281">
        <f>SUM(GenFundExp2!I374:I377)</f>
        <v>0</v>
      </c>
      <c r="E126" s="265"/>
      <c r="F126" s="281">
        <f>SUM(CharterFundExp2!I374:I377)</f>
        <v>0</v>
      </c>
      <c r="G126" s="265"/>
      <c r="H126" s="264"/>
      <c r="I126" s="265"/>
      <c r="J126" s="264"/>
      <c r="K126" s="265"/>
      <c r="L126" s="281"/>
      <c r="M126" s="265"/>
      <c r="N126" s="264"/>
      <c r="O126" s="265"/>
      <c r="P126" s="264"/>
      <c r="Q126" s="265"/>
      <c r="R126" s="264"/>
      <c r="S126" s="265"/>
      <c r="T126" s="264"/>
      <c r="U126" s="265"/>
      <c r="V126" s="264"/>
      <c r="W126" s="265"/>
      <c r="X126" s="264"/>
      <c r="Y126" s="265"/>
      <c r="Z126" s="265"/>
      <c r="AA126" s="264"/>
      <c r="AB126" s="265"/>
      <c r="AC126" s="264"/>
      <c r="AD126" s="264"/>
      <c r="AE126" s="265"/>
      <c r="AF126" s="264"/>
      <c r="AG126" s="265"/>
      <c r="AH126" s="264"/>
      <c r="AI126" s="265"/>
      <c r="AJ126" s="264"/>
      <c r="AK126" s="265"/>
      <c r="AL126" s="264"/>
      <c r="AM126" s="265"/>
      <c r="AN126" s="264">
        <f>SUM(FoodServ!I41:I42)</f>
        <v>0</v>
      </c>
      <c r="AO126" s="265"/>
      <c r="AP126" s="264"/>
      <c r="AQ126" s="265"/>
      <c r="AR126" s="264"/>
      <c r="AS126" s="265"/>
      <c r="AT126" s="265"/>
      <c r="AU126" s="264"/>
      <c r="AV126" s="265"/>
      <c r="AW126" s="264"/>
      <c r="AX126" s="265"/>
      <c r="AY126" s="264"/>
      <c r="AZ126" s="265"/>
      <c r="BA126" s="264"/>
      <c r="BB126" s="265"/>
      <c r="BC126" s="264"/>
      <c r="BD126" s="265"/>
      <c r="BE126" s="264"/>
      <c r="BF126" s="265"/>
      <c r="BG126" s="264"/>
      <c r="BH126" s="265"/>
      <c r="BI126" s="264">
        <f t="shared" si="12"/>
        <v>0</v>
      </c>
      <c r="BJ126" s="268"/>
      <c r="BK126" s="269"/>
      <c r="BL126" s="269"/>
      <c r="BM126" s="270"/>
    </row>
    <row r="127" spans="1:65" s="282" customFormat="1" ht="18.75" thickBot="1" x14ac:dyDescent="0.3">
      <c r="A127" s="246" t="s">
        <v>900</v>
      </c>
      <c r="B127" s="283" t="s">
        <v>901</v>
      </c>
      <c r="C127" s="268"/>
      <c r="D127" s="281">
        <f>SUM(GenFundExp2!I378:I383)</f>
        <v>0</v>
      </c>
      <c r="E127" s="265"/>
      <c r="F127" s="281">
        <f>SUM(CharterFundExp2!I378:I383)</f>
        <v>0</v>
      </c>
      <c r="G127" s="265"/>
      <c r="H127" s="264"/>
      <c r="I127" s="265"/>
      <c r="J127" s="264"/>
      <c r="K127" s="265"/>
      <c r="L127" s="281"/>
      <c r="M127" s="265"/>
      <c r="N127" s="264"/>
      <c r="O127" s="265"/>
      <c r="P127" s="264"/>
      <c r="Q127" s="265"/>
      <c r="R127" s="264"/>
      <c r="S127" s="265"/>
      <c r="T127" s="264"/>
      <c r="U127" s="265"/>
      <c r="V127" s="264"/>
      <c r="W127" s="265"/>
      <c r="X127" s="264"/>
      <c r="Y127" s="265"/>
      <c r="Z127" s="265"/>
      <c r="AA127" s="264"/>
      <c r="AB127" s="265"/>
      <c r="AC127" s="264"/>
      <c r="AD127" s="264"/>
      <c r="AE127" s="265"/>
      <c r="AF127" s="264"/>
      <c r="AG127" s="265"/>
      <c r="AH127" s="264"/>
      <c r="AI127" s="265"/>
      <c r="AJ127" s="264"/>
      <c r="AK127" s="265"/>
      <c r="AL127" s="264"/>
      <c r="AM127" s="265"/>
      <c r="AN127" s="264">
        <f>SUM(FoodServ!I43:I45)</f>
        <v>0</v>
      </c>
      <c r="AO127" s="265"/>
      <c r="AP127" s="264"/>
      <c r="AQ127" s="265"/>
      <c r="AR127" s="264"/>
      <c r="AS127" s="265"/>
      <c r="AT127" s="265"/>
      <c r="AU127" s="264"/>
      <c r="AV127" s="265"/>
      <c r="AW127" s="264"/>
      <c r="AX127" s="265"/>
      <c r="AY127" s="264"/>
      <c r="AZ127" s="265"/>
      <c r="BA127" s="264"/>
      <c r="BB127" s="265"/>
      <c r="BC127" s="264"/>
      <c r="BD127" s="265"/>
      <c r="BE127" s="264"/>
      <c r="BF127" s="265"/>
      <c r="BG127" s="264"/>
      <c r="BH127" s="265"/>
      <c r="BI127" s="264">
        <f t="shared" si="12"/>
        <v>0</v>
      </c>
      <c r="BJ127" s="268"/>
      <c r="BK127" s="269"/>
      <c r="BL127" s="269"/>
      <c r="BM127" s="270"/>
    </row>
    <row r="128" spans="1:65" s="282" customFormat="1" ht="18.75" thickBot="1" x14ac:dyDescent="0.3">
      <c r="A128" s="271" t="s">
        <v>776</v>
      </c>
      <c r="B128" s="279"/>
      <c r="C128" s="275"/>
      <c r="D128" s="274">
        <f>SUM(D122:D127)</f>
        <v>0</v>
      </c>
      <c r="E128" s="275"/>
      <c r="F128" s="274">
        <f>SUM(F122:F127)</f>
        <v>0</v>
      </c>
      <c r="G128" s="275"/>
      <c r="H128" s="274">
        <f>SUM(H122:H127)</f>
        <v>0</v>
      </c>
      <c r="I128" s="275"/>
      <c r="J128" s="274">
        <f>SUM(J122:J127)</f>
        <v>0</v>
      </c>
      <c r="K128" s="275"/>
      <c r="L128" s="274">
        <f>SUM(L122:L127)</f>
        <v>0</v>
      </c>
      <c r="M128" s="275"/>
      <c r="N128" s="274">
        <f>SUM(N122:N127)</f>
        <v>0</v>
      </c>
      <c r="O128" s="275"/>
      <c r="P128" s="274">
        <f>SUM(P122:P127)</f>
        <v>0</v>
      </c>
      <c r="Q128" s="275"/>
      <c r="R128" s="274">
        <f>SUM(R122:R127)</f>
        <v>0</v>
      </c>
      <c r="S128" s="275"/>
      <c r="T128" s="274">
        <f>SUM(T122:T127)</f>
        <v>0</v>
      </c>
      <c r="U128" s="275"/>
      <c r="V128" s="274">
        <f>SUM(V122:V127)</f>
        <v>0</v>
      </c>
      <c r="W128" s="275"/>
      <c r="X128" s="274">
        <f>SUM(X122:X127)</f>
        <v>0</v>
      </c>
      <c r="Y128" s="275"/>
      <c r="Z128" s="275"/>
      <c r="AA128" s="274">
        <f>SUM(AA122:AA127)</f>
        <v>0</v>
      </c>
      <c r="AB128" s="275"/>
      <c r="AC128" s="274">
        <f>SUM(AC122:AC127)</f>
        <v>0</v>
      </c>
      <c r="AD128" s="274">
        <f>SUM(AD122:AD127)</f>
        <v>0</v>
      </c>
      <c r="AE128" s="275"/>
      <c r="AF128" s="274">
        <f>SUM(AF122:AF127)</f>
        <v>0</v>
      </c>
      <c r="AG128" s="275"/>
      <c r="AH128" s="274">
        <f>SUM(AH122:AH127)</f>
        <v>0</v>
      </c>
      <c r="AI128" s="275"/>
      <c r="AJ128" s="274">
        <f>SUM(AJ122:AJ127)</f>
        <v>0</v>
      </c>
      <c r="AK128" s="275"/>
      <c r="AL128" s="274">
        <f>SUM(AL122:AL127)</f>
        <v>0</v>
      </c>
      <c r="AM128" s="275"/>
      <c r="AN128" s="274">
        <f>SUM(AN122:AN127)</f>
        <v>0</v>
      </c>
      <c r="AO128" s="275"/>
      <c r="AP128" s="274">
        <f>SUM(AP122:AP127)</f>
        <v>0</v>
      </c>
      <c r="AQ128" s="275"/>
      <c r="AR128" s="274">
        <f>SUM(AR122:AR127)</f>
        <v>0</v>
      </c>
      <c r="AS128" s="275"/>
      <c r="AT128" s="275"/>
      <c r="AU128" s="274">
        <f>SUM(AU122:AU127)</f>
        <v>0</v>
      </c>
      <c r="AV128" s="275"/>
      <c r="AW128" s="274">
        <f>SUM(AW122:AW127)</f>
        <v>0</v>
      </c>
      <c r="AX128" s="275"/>
      <c r="AY128" s="274">
        <f>SUM(AY122:AY127)</f>
        <v>0</v>
      </c>
      <c r="AZ128" s="275"/>
      <c r="BA128" s="274">
        <f>SUM(BA122:BA127)</f>
        <v>0</v>
      </c>
      <c r="BB128" s="275"/>
      <c r="BC128" s="274">
        <f>SUM(BC122:BC127)</f>
        <v>0</v>
      </c>
      <c r="BD128" s="275"/>
      <c r="BE128" s="274">
        <f>SUM(BE122:BE127)</f>
        <v>0</v>
      </c>
      <c r="BF128" s="275"/>
      <c r="BG128" s="274">
        <f>SUM(BG122:BG127)</f>
        <v>0</v>
      </c>
      <c r="BH128" s="275"/>
      <c r="BI128" s="274">
        <f t="shared" si="12"/>
        <v>0</v>
      </c>
      <c r="BJ128" s="275"/>
      <c r="BK128" s="276"/>
      <c r="BL128" s="276"/>
      <c r="BM128" s="270"/>
    </row>
    <row r="129" spans="1:65" s="282" customFormat="1" ht="18" x14ac:dyDescent="0.25">
      <c r="A129" s="246" t="s">
        <v>778</v>
      </c>
      <c r="B129" s="262"/>
      <c r="C129" s="268"/>
      <c r="D129" s="264"/>
      <c r="E129" s="265"/>
      <c r="F129" s="264"/>
      <c r="G129" s="265"/>
      <c r="H129" s="264"/>
      <c r="I129" s="265"/>
      <c r="J129" s="264"/>
      <c r="K129" s="265"/>
      <c r="L129" s="281"/>
      <c r="M129" s="265"/>
      <c r="N129" s="264"/>
      <c r="O129" s="265"/>
      <c r="P129" s="264"/>
      <c r="Q129" s="265"/>
      <c r="R129" s="264"/>
      <c r="S129" s="265"/>
      <c r="T129" s="264"/>
      <c r="U129" s="265"/>
      <c r="V129" s="264"/>
      <c r="W129" s="265"/>
      <c r="X129" s="264"/>
      <c r="Y129" s="265"/>
      <c r="Z129" s="265"/>
      <c r="AA129" s="264"/>
      <c r="AB129" s="265"/>
      <c r="AC129" s="264"/>
      <c r="AD129" s="264"/>
      <c r="AE129" s="265"/>
      <c r="AF129" s="264"/>
      <c r="AG129" s="265"/>
      <c r="AH129" s="264"/>
      <c r="AI129" s="265"/>
      <c r="AJ129" s="264"/>
      <c r="AK129" s="265"/>
      <c r="AL129" s="264"/>
      <c r="AM129" s="265"/>
      <c r="AN129" s="264"/>
      <c r="AO129" s="265"/>
      <c r="AP129" s="264"/>
      <c r="AQ129" s="265"/>
      <c r="AR129" s="264"/>
      <c r="AS129" s="265"/>
      <c r="AT129" s="265"/>
      <c r="AU129" s="264"/>
      <c r="AV129" s="265"/>
      <c r="AW129" s="264"/>
      <c r="AX129" s="265"/>
      <c r="AY129" s="264"/>
      <c r="AZ129" s="265"/>
      <c r="BA129" s="264"/>
      <c r="BB129" s="265"/>
      <c r="BC129" s="264"/>
      <c r="BD129" s="265"/>
      <c r="BE129" s="264"/>
      <c r="BF129" s="265"/>
      <c r="BG129" s="264"/>
      <c r="BH129" s="265"/>
      <c r="BI129" s="270"/>
      <c r="BJ129" s="268"/>
      <c r="BK129" s="269"/>
      <c r="BL129" s="269"/>
      <c r="BM129" s="270"/>
    </row>
    <row r="130" spans="1:65" s="282" customFormat="1" ht="18" x14ac:dyDescent="0.25">
      <c r="A130" s="246" t="s">
        <v>23</v>
      </c>
      <c r="B130" s="283" t="s">
        <v>1577</v>
      </c>
      <c r="C130" s="268"/>
      <c r="D130" s="281">
        <f>SUM(GenFundExp2!I387+GenFundExp2!I388+GenFundExp2!I410+GenFundExp2!I411)</f>
        <v>0</v>
      </c>
      <c r="E130" s="265"/>
      <c r="F130" s="281">
        <f>SUM(CharterFundExp2!I387+CharterFundExp2!I388+CharterFundExp2!I410+CharterFundExp2!I411)</f>
        <v>0</v>
      </c>
      <c r="G130" s="265"/>
      <c r="H130" s="264"/>
      <c r="I130" s="265"/>
      <c r="J130" s="264"/>
      <c r="K130" s="265"/>
      <c r="L130" s="281"/>
      <c r="M130" s="265"/>
      <c r="N130" s="264"/>
      <c r="O130" s="265"/>
      <c r="P130" s="264"/>
      <c r="Q130" s="265"/>
      <c r="R130" s="264"/>
      <c r="S130" s="265"/>
      <c r="T130" s="264"/>
      <c r="U130" s="265"/>
      <c r="V130" s="264"/>
      <c r="W130" s="265"/>
      <c r="X130" s="264"/>
      <c r="Y130" s="265"/>
      <c r="Z130" s="265"/>
      <c r="AA130" s="264"/>
      <c r="AB130" s="265"/>
      <c r="AC130" s="264"/>
      <c r="AD130" s="264"/>
      <c r="AE130" s="265"/>
      <c r="AF130" s="264"/>
      <c r="AG130" s="265"/>
      <c r="AH130" s="264"/>
      <c r="AI130" s="265"/>
      <c r="AJ130" s="264"/>
      <c r="AK130" s="265"/>
      <c r="AL130" s="264"/>
      <c r="AM130" s="265"/>
      <c r="AN130" s="264"/>
      <c r="AO130" s="265"/>
      <c r="AP130" s="264"/>
      <c r="AQ130" s="265"/>
      <c r="AR130" s="264"/>
      <c r="AS130" s="265"/>
      <c r="AT130" s="265"/>
      <c r="AU130" s="264"/>
      <c r="AV130" s="265"/>
      <c r="AW130" s="264"/>
      <c r="AX130" s="265"/>
      <c r="AY130" s="264"/>
      <c r="AZ130" s="265"/>
      <c r="BA130" s="264"/>
      <c r="BB130" s="265"/>
      <c r="BC130" s="264"/>
      <c r="BD130" s="265"/>
      <c r="BE130" s="264"/>
      <c r="BF130" s="265"/>
      <c r="BG130" s="264"/>
      <c r="BH130" s="265"/>
      <c r="BI130" s="264">
        <f t="shared" ref="BI130:BI136" si="13">D130+F130+H130+J130+X130+N130+P130+R130+L130+T130+V130+AA130+AC130+AD130+AF130+AH130+AJ130+AL130+AN130+AP130+AR130+AU130+AW130+AY130+BA130+BC130+BE130+BG130</f>
        <v>0</v>
      </c>
      <c r="BJ130" s="268"/>
      <c r="BK130" s="269"/>
      <c r="BL130" s="269"/>
      <c r="BM130" s="270"/>
    </row>
    <row r="131" spans="1:65" s="282" customFormat="1" ht="18" x14ac:dyDescent="0.25">
      <c r="A131" s="246" t="s">
        <v>24</v>
      </c>
      <c r="B131" s="283" t="s">
        <v>1578</v>
      </c>
      <c r="C131" s="268"/>
      <c r="D131" s="281">
        <f>SUM(GenFundExp2!I389+GenFundExp2!I390+GenFundExp2!I412+GenFundExp2!I413)</f>
        <v>0</v>
      </c>
      <c r="E131" s="265"/>
      <c r="F131" s="281">
        <f>SUM(CharterFundExp2!I389+CharterFundExp2!I390+CharterFundExp2!I412+CharterFundExp2!I413)</f>
        <v>0</v>
      </c>
      <c r="G131" s="265"/>
      <c r="H131" s="264"/>
      <c r="I131" s="265"/>
      <c r="J131" s="264"/>
      <c r="K131" s="265"/>
      <c r="L131" s="281"/>
      <c r="M131" s="265"/>
      <c r="N131" s="264"/>
      <c r="O131" s="265"/>
      <c r="P131" s="264"/>
      <c r="Q131" s="265"/>
      <c r="R131" s="264"/>
      <c r="S131" s="265"/>
      <c r="T131" s="264"/>
      <c r="U131" s="265"/>
      <c r="V131" s="264"/>
      <c r="W131" s="265"/>
      <c r="X131" s="264"/>
      <c r="Y131" s="265"/>
      <c r="Z131" s="265"/>
      <c r="AA131" s="264"/>
      <c r="AB131" s="265"/>
      <c r="AC131" s="264"/>
      <c r="AD131" s="264"/>
      <c r="AE131" s="265"/>
      <c r="AF131" s="264"/>
      <c r="AG131" s="265"/>
      <c r="AH131" s="264"/>
      <c r="AI131" s="265"/>
      <c r="AJ131" s="264"/>
      <c r="AK131" s="265"/>
      <c r="AL131" s="264"/>
      <c r="AM131" s="265"/>
      <c r="AN131" s="264"/>
      <c r="AO131" s="265"/>
      <c r="AP131" s="264"/>
      <c r="AQ131" s="265"/>
      <c r="AR131" s="264"/>
      <c r="AS131" s="265"/>
      <c r="AT131" s="265"/>
      <c r="AU131" s="264"/>
      <c r="AV131" s="265"/>
      <c r="AW131" s="264"/>
      <c r="AX131" s="265"/>
      <c r="AY131" s="264"/>
      <c r="AZ131" s="265"/>
      <c r="BA131" s="264"/>
      <c r="BB131" s="265"/>
      <c r="BC131" s="264"/>
      <c r="BD131" s="265"/>
      <c r="BE131" s="264"/>
      <c r="BF131" s="265"/>
      <c r="BG131" s="264"/>
      <c r="BH131" s="265"/>
      <c r="BI131" s="264">
        <f t="shared" si="13"/>
        <v>0</v>
      </c>
      <c r="BJ131" s="268"/>
      <c r="BK131" s="269"/>
      <c r="BL131" s="269"/>
      <c r="BM131" s="270"/>
    </row>
    <row r="132" spans="1:65" s="282" customFormat="1" ht="36" x14ac:dyDescent="0.25">
      <c r="A132" s="246" t="s">
        <v>25</v>
      </c>
      <c r="B132" s="283" t="s">
        <v>773</v>
      </c>
      <c r="C132" s="268"/>
      <c r="D132" s="264">
        <f>SUM(GenFundExp2!I391+GenFundExp2!I392+GenFundExp2!I393+GenFundExp2!I394+GenFundExp2!I395+GenFundExp2!I396+GenFundExp2!I414+GenFundExp2!I415+GenFundExp2!I416+GenFundExp2!I417+GenFundExp2!I418+GenFundExp2!I419)</f>
        <v>0</v>
      </c>
      <c r="E132" s="265"/>
      <c r="F132" s="264">
        <f>SUM(CharterFundExp2!I391+CharterFundExp2!I392+CharterFundExp2!I393+CharterFundExp2!I394+CharterFundExp2!I395+CharterFundExp2!I396+CharterFundExp2!I414+CharterFundExp2!I415+CharterFundExp2!I416+CharterFundExp2!I417+CharterFundExp2!I418+CharterFundExp2!I419)</f>
        <v>0</v>
      </c>
      <c r="G132" s="265"/>
      <c r="H132" s="264"/>
      <c r="I132" s="265"/>
      <c r="J132" s="264"/>
      <c r="K132" s="265"/>
      <c r="L132" s="281"/>
      <c r="M132" s="265"/>
      <c r="N132" s="264"/>
      <c r="O132" s="265"/>
      <c r="P132" s="264"/>
      <c r="Q132" s="265"/>
      <c r="R132" s="264"/>
      <c r="S132" s="265"/>
      <c r="T132" s="264"/>
      <c r="U132" s="265"/>
      <c r="V132" s="264"/>
      <c r="W132" s="265"/>
      <c r="X132" s="264"/>
      <c r="Y132" s="265"/>
      <c r="Z132" s="265"/>
      <c r="AA132" s="264"/>
      <c r="AB132" s="265"/>
      <c r="AC132" s="264"/>
      <c r="AD132" s="264"/>
      <c r="AE132" s="265"/>
      <c r="AF132" s="264"/>
      <c r="AG132" s="265"/>
      <c r="AH132" s="264"/>
      <c r="AI132" s="265"/>
      <c r="AJ132" s="264"/>
      <c r="AK132" s="265"/>
      <c r="AL132" s="264"/>
      <c r="AM132" s="265"/>
      <c r="AN132" s="264"/>
      <c r="AO132" s="265"/>
      <c r="AP132" s="264"/>
      <c r="AQ132" s="265"/>
      <c r="AR132" s="264"/>
      <c r="AS132" s="265"/>
      <c r="AT132" s="265"/>
      <c r="AU132" s="264"/>
      <c r="AV132" s="265"/>
      <c r="AW132" s="264"/>
      <c r="AX132" s="265"/>
      <c r="AY132" s="264"/>
      <c r="AZ132" s="265"/>
      <c r="BA132" s="264"/>
      <c r="BB132" s="265"/>
      <c r="BC132" s="264"/>
      <c r="BD132" s="265"/>
      <c r="BE132" s="264"/>
      <c r="BF132" s="265"/>
      <c r="BG132" s="264"/>
      <c r="BH132" s="265"/>
      <c r="BI132" s="264">
        <f t="shared" si="13"/>
        <v>0</v>
      </c>
      <c r="BJ132" s="268"/>
      <c r="BK132" s="269"/>
      <c r="BL132" s="269"/>
      <c r="BM132" s="270"/>
    </row>
    <row r="133" spans="1:65" s="282" customFormat="1" ht="18" x14ac:dyDescent="0.25">
      <c r="A133" s="246" t="s">
        <v>898</v>
      </c>
      <c r="B133" s="283" t="s">
        <v>1582</v>
      </c>
      <c r="C133" s="268"/>
      <c r="D133" s="264">
        <f>SUM(GenFundExp2!I397+GenFundExp2!I398+GenFundExp2!I420+GenFundExp2!I421)</f>
        <v>0</v>
      </c>
      <c r="E133" s="265"/>
      <c r="F133" s="264">
        <f>SUM(CharterFundExp2!I397+CharterFundExp2!I398+CharterFundExp2!I420+CharterFundExp2!I421)</f>
        <v>0</v>
      </c>
      <c r="G133" s="265"/>
      <c r="H133" s="264"/>
      <c r="I133" s="265"/>
      <c r="J133" s="264"/>
      <c r="K133" s="265"/>
      <c r="L133" s="281"/>
      <c r="M133" s="265"/>
      <c r="N133" s="264"/>
      <c r="O133" s="265"/>
      <c r="P133" s="264"/>
      <c r="Q133" s="265"/>
      <c r="R133" s="264"/>
      <c r="S133" s="265"/>
      <c r="T133" s="264"/>
      <c r="U133" s="265"/>
      <c r="V133" s="264"/>
      <c r="W133" s="265"/>
      <c r="X133" s="264"/>
      <c r="Y133" s="265"/>
      <c r="Z133" s="265"/>
      <c r="AA133" s="264"/>
      <c r="AB133" s="265"/>
      <c r="AC133" s="264"/>
      <c r="AD133" s="264"/>
      <c r="AE133" s="265"/>
      <c r="AF133" s="264"/>
      <c r="AG133" s="265"/>
      <c r="AH133" s="264"/>
      <c r="AI133" s="265"/>
      <c r="AJ133" s="264"/>
      <c r="AK133" s="265"/>
      <c r="AL133" s="264"/>
      <c r="AM133" s="265"/>
      <c r="AN133" s="264"/>
      <c r="AO133" s="265"/>
      <c r="AP133" s="264"/>
      <c r="AQ133" s="265"/>
      <c r="AR133" s="264"/>
      <c r="AS133" s="265"/>
      <c r="AT133" s="265"/>
      <c r="AU133" s="264"/>
      <c r="AV133" s="265"/>
      <c r="AW133" s="264"/>
      <c r="AX133" s="265"/>
      <c r="AY133" s="264"/>
      <c r="AZ133" s="265"/>
      <c r="BA133" s="264"/>
      <c r="BB133" s="265"/>
      <c r="BC133" s="264"/>
      <c r="BD133" s="265"/>
      <c r="BE133" s="264"/>
      <c r="BF133" s="265"/>
      <c r="BG133" s="264"/>
      <c r="BH133" s="265"/>
      <c r="BI133" s="264">
        <f t="shared" si="13"/>
        <v>0</v>
      </c>
      <c r="BJ133" s="268"/>
      <c r="BK133" s="269"/>
      <c r="BL133" s="269"/>
      <c r="BM133" s="270"/>
    </row>
    <row r="134" spans="1:65" s="282" customFormat="1" ht="18" x14ac:dyDescent="0.25">
      <c r="A134" s="246" t="s">
        <v>899</v>
      </c>
      <c r="B134" s="283" t="s">
        <v>1583</v>
      </c>
      <c r="C134" s="268"/>
      <c r="D134" s="264">
        <f>SUM(GenFundExp2!I399+GenFundExp2!I400+GenFundExp2!I401+GenFundExp2!I402+GenFundExp2!I422+GenFundExp2!I423+GenFundExp2!I424+GenFundExp2!I425)</f>
        <v>0</v>
      </c>
      <c r="E134" s="265"/>
      <c r="F134" s="264">
        <f>SUM(CharterFundExp2!I399+CharterFundExp2!I400+CharterFundExp2!I401+CharterFundExp2!I402+CharterFundExp2!I422+CharterFundExp2!I423+CharterFundExp2!I424+CharterFundExp2!I425)</f>
        <v>0</v>
      </c>
      <c r="G134" s="265"/>
      <c r="H134" s="264"/>
      <c r="I134" s="265"/>
      <c r="J134" s="264"/>
      <c r="K134" s="265"/>
      <c r="L134" s="281"/>
      <c r="M134" s="265"/>
      <c r="N134" s="264"/>
      <c r="O134" s="265"/>
      <c r="P134" s="264"/>
      <c r="Q134" s="265"/>
      <c r="R134" s="264"/>
      <c r="S134" s="265"/>
      <c r="T134" s="264"/>
      <c r="U134" s="265"/>
      <c r="V134" s="264"/>
      <c r="W134" s="265"/>
      <c r="X134" s="264"/>
      <c r="Y134" s="265"/>
      <c r="Z134" s="265"/>
      <c r="AA134" s="264"/>
      <c r="AB134" s="265"/>
      <c r="AC134" s="264"/>
      <c r="AD134" s="264"/>
      <c r="AE134" s="265"/>
      <c r="AF134" s="264"/>
      <c r="AG134" s="265"/>
      <c r="AH134" s="264"/>
      <c r="AI134" s="265"/>
      <c r="AJ134" s="264"/>
      <c r="AK134" s="265"/>
      <c r="AL134" s="264"/>
      <c r="AM134" s="265"/>
      <c r="AN134" s="264"/>
      <c r="AO134" s="265"/>
      <c r="AP134" s="264"/>
      <c r="AQ134" s="265"/>
      <c r="AR134" s="264"/>
      <c r="AS134" s="265"/>
      <c r="AT134" s="265"/>
      <c r="AU134" s="264"/>
      <c r="AV134" s="265"/>
      <c r="AW134" s="264"/>
      <c r="AX134" s="265"/>
      <c r="AY134" s="264"/>
      <c r="AZ134" s="265"/>
      <c r="BA134" s="264"/>
      <c r="BB134" s="265"/>
      <c r="BC134" s="264"/>
      <c r="BD134" s="265"/>
      <c r="BE134" s="264"/>
      <c r="BF134" s="265"/>
      <c r="BG134" s="264"/>
      <c r="BH134" s="265"/>
      <c r="BI134" s="264">
        <f t="shared" si="13"/>
        <v>0</v>
      </c>
      <c r="BJ134" s="268"/>
      <c r="BK134" s="269"/>
      <c r="BL134" s="269"/>
      <c r="BM134" s="270"/>
    </row>
    <row r="135" spans="1:65" s="282" customFormat="1" ht="18.75" thickBot="1" x14ac:dyDescent="0.3">
      <c r="A135" s="246" t="s">
        <v>900</v>
      </c>
      <c r="B135" s="283" t="s">
        <v>901</v>
      </c>
      <c r="C135" s="268"/>
      <c r="D135" s="264">
        <f>SUM(GenFundExp2!I403+GenFundExp2!I404+GenFundExp2!I405+GenFundExp2!I406+GenFundExp2!I426+GenFundExp2!I427+GenFundExp2!I428+GenFundExp2!I429)</f>
        <v>0</v>
      </c>
      <c r="E135" s="265"/>
      <c r="F135" s="264">
        <f>SUM(CharterFundExp2!I403+CharterFundExp2!I404+CharterFundExp2!I405+CharterFundExp2!I406+CharterFundExp2!I426+CharterFundExp2!I427+CharterFundExp2!I428+CharterFundExp2!I429)</f>
        <v>0</v>
      </c>
      <c r="G135" s="265"/>
      <c r="H135" s="264"/>
      <c r="I135" s="265"/>
      <c r="J135" s="264"/>
      <c r="K135" s="265"/>
      <c r="L135" s="281"/>
      <c r="M135" s="265"/>
      <c r="N135" s="264"/>
      <c r="O135" s="265"/>
      <c r="P135" s="264"/>
      <c r="Q135" s="265"/>
      <c r="R135" s="264"/>
      <c r="S135" s="265"/>
      <c r="T135" s="264"/>
      <c r="U135" s="265"/>
      <c r="V135" s="264"/>
      <c r="W135" s="265"/>
      <c r="X135" s="264"/>
      <c r="Y135" s="265"/>
      <c r="Z135" s="265"/>
      <c r="AA135" s="264"/>
      <c r="AB135" s="265"/>
      <c r="AC135" s="264"/>
      <c r="AD135" s="264"/>
      <c r="AE135" s="265"/>
      <c r="AF135" s="264"/>
      <c r="AG135" s="265"/>
      <c r="AH135" s="264"/>
      <c r="AI135" s="265"/>
      <c r="AJ135" s="264"/>
      <c r="AK135" s="265"/>
      <c r="AL135" s="264"/>
      <c r="AM135" s="265"/>
      <c r="AN135" s="264"/>
      <c r="AO135" s="265"/>
      <c r="AP135" s="264"/>
      <c r="AQ135" s="265"/>
      <c r="AR135" s="264"/>
      <c r="AS135" s="265"/>
      <c r="AT135" s="265"/>
      <c r="AU135" s="264"/>
      <c r="AV135" s="265"/>
      <c r="AW135" s="264"/>
      <c r="AX135" s="265"/>
      <c r="AY135" s="264"/>
      <c r="AZ135" s="265"/>
      <c r="BA135" s="264"/>
      <c r="BB135" s="265"/>
      <c r="BC135" s="264"/>
      <c r="BD135" s="265"/>
      <c r="BE135" s="264"/>
      <c r="BF135" s="265"/>
      <c r="BG135" s="264"/>
      <c r="BH135" s="265"/>
      <c r="BI135" s="264">
        <f t="shared" si="13"/>
        <v>0</v>
      </c>
      <c r="BJ135" s="268"/>
      <c r="BK135" s="269"/>
      <c r="BL135" s="269"/>
      <c r="BM135" s="270"/>
    </row>
    <row r="136" spans="1:65" s="282" customFormat="1" ht="18.75" thickBot="1" x14ac:dyDescent="0.3">
      <c r="A136" s="271" t="s">
        <v>779</v>
      </c>
      <c r="B136" s="279"/>
      <c r="C136" s="275"/>
      <c r="D136" s="274">
        <f>SUM(D130:D135)</f>
        <v>0</v>
      </c>
      <c r="E136" s="275"/>
      <c r="F136" s="274">
        <f>SUM(F130:F135)</f>
        <v>0</v>
      </c>
      <c r="G136" s="275"/>
      <c r="H136" s="274">
        <f>SUM(H130:H135)</f>
        <v>0</v>
      </c>
      <c r="I136" s="275"/>
      <c r="J136" s="274">
        <f>SUM(J130:J135)</f>
        <v>0</v>
      </c>
      <c r="K136" s="275"/>
      <c r="L136" s="274">
        <f>SUM(L130:L135)</f>
        <v>0</v>
      </c>
      <c r="M136" s="275"/>
      <c r="N136" s="274">
        <f>SUM(N130:N135)</f>
        <v>0</v>
      </c>
      <c r="O136" s="275"/>
      <c r="P136" s="274">
        <f>SUM(P130:P135)</f>
        <v>0</v>
      </c>
      <c r="Q136" s="275"/>
      <c r="R136" s="274">
        <f>SUM(R130:R135)</f>
        <v>0</v>
      </c>
      <c r="S136" s="275"/>
      <c r="T136" s="274">
        <f>SUM(T130:T135)</f>
        <v>0</v>
      </c>
      <c r="U136" s="275"/>
      <c r="V136" s="274">
        <f>SUM(V130:V135)</f>
        <v>0</v>
      </c>
      <c r="W136" s="275"/>
      <c r="X136" s="274">
        <f>SUM(X130:X135)</f>
        <v>0</v>
      </c>
      <c r="Y136" s="275"/>
      <c r="Z136" s="275"/>
      <c r="AA136" s="274">
        <f>SUM(AA130:AA135)</f>
        <v>0</v>
      </c>
      <c r="AB136" s="275"/>
      <c r="AC136" s="274">
        <f>SUM(AC130:AC135)</f>
        <v>0</v>
      </c>
      <c r="AD136" s="274">
        <f>SUM(AD130:AD135)</f>
        <v>0</v>
      </c>
      <c r="AE136" s="275"/>
      <c r="AF136" s="274">
        <f>SUM(AF130:AF135)</f>
        <v>0</v>
      </c>
      <c r="AG136" s="275"/>
      <c r="AH136" s="274">
        <f>SUM(AH130:AH135)</f>
        <v>0</v>
      </c>
      <c r="AI136" s="275"/>
      <c r="AJ136" s="274">
        <f>SUM(AJ130:AJ135)</f>
        <v>0</v>
      </c>
      <c r="AK136" s="275"/>
      <c r="AL136" s="274">
        <f>SUM(AL130:AL135)</f>
        <v>0</v>
      </c>
      <c r="AM136" s="275"/>
      <c r="AN136" s="274">
        <f>SUM(AN130:AN135)</f>
        <v>0</v>
      </c>
      <c r="AO136" s="275"/>
      <c r="AP136" s="274">
        <f>SUM(AP130:AP135)</f>
        <v>0</v>
      </c>
      <c r="AQ136" s="275"/>
      <c r="AR136" s="274">
        <f>SUM(AR130:AR135)</f>
        <v>0</v>
      </c>
      <c r="AS136" s="275"/>
      <c r="AT136" s="275"/>
      <c r="AU136" s="274">
        <f>SUM(AU130:AU135)</f>
        <v>0</v>
      </c>
      <c r="AV136" s="275"/>
      <c r="AW136" s="274">
        <f>SUM(AW130:AW135)</f>
        <v>0</v>
      </c>
      <c r="AX136" s="275"/>
      <c r="AY136" s="274">
        <f>SUM(AY130:AY135)</f>
        <v>0</v>
      </c>
      <c r="AZ136" s="275"/>
      <c r="BA136" s="274">
        <f>SUM(BA130:BA135)</f>
        <v>0</v>
      </c>
      <c r="BB136" s="275"/>
      <c r="BC136" s="274">
        <f>SUM(BC130:BC135)</f>
        <v>0</v>
      </c>
      <c r="BD136" s="275"/>
      <c r="BE136" s="274">
        <f>SUM(BE130:BE135)</f>
        <v>0</v>
      </c>
      <c r="BF136" s="275"/>
      <c r="BG136" s="274">
        <f>SUM(BG130:BG135)</f>
        <v>0</v>
      </c>
      <c r="BH136" s="275"/>
      <c r="BI136" s="274">
        <f t="shared" si="13"/>
        <v>0</v>
      </c>
      <c r="BJ136" s="275"/>
      <c r="BK136" s="276"/>
      <c r="BL136" s="276"/>
      <c r="BM136" s="270"/>
    </row>
    <row r="137" spans="1:65" s="282" customFormat="1" ht="18" x14ac:dyDescent="0.25">
      <c r="A137" s="246"/>
      <c r="B137" s="262"/>
      <c r="C137" s="265"/>
      <c r="D137" s="264"/>
      <c r="E137" s="265"/>
      <c r="F137" s="264"/>
      <c r="G137" s="265"/>
      <c r="H137" s="264"/>
      <c r="I137" s="265"/>
      <c r="J137" s="264"/>
      <c r="K137" s="265"/>
      <c r="L137" s="281"/>
      <c r="M137" s="265"/>
      <c r="N137" s="264"/>
      <c r="O137" s="265"/>
      <c r="P137" s="264"/>
      <c r="Q137" s="265"/>
      <c r="R137" s="264"/>
      <c r="S137" s="265"/>
      <c r="T137" s="264"/>
      <c r="U137" s="265"/>
      <c r="V137" s="264"/>
      <c r="W137" s="265"/>
      <c r="X137" s="264"/>
      <c r="Y137" s="265"/>
      <c r="Z137" s="265"/>
      <c r="AA137" s="264"/>
      <c r="AB137" s="265"/>
      <c r="AC137" s="264"/>
      <c r="AD137" s="264"/>
      <c r="AE137" s="265"/>
      <c r="AF137" s="264"/>
      <c r="AG137" s="265"/>
      <c r="AH137" s="264"/>
      <c r="AI137" s="265"/>
      <c r="AJ137" s="264"/>
      <c r="AK137" s="265"/>
      <c r="AL137" s="264"/>
      <c r="AM137" s="265"/>
      <c r="AN137" s="264"/>
      <c r="AO137" s="265"/>
      <c r="AP137" s="264"/>
      <c r="AQ137" s="265"/>
      <c r="AR137" s="264"/>
      <c r="AS137" s="265"/>
      <c r="AT137" s="265"/>
      <c r="AU137" s="264"/>
      <c r="AV137" s="265"/>
      <c r="AW137" s="264"/>
      <c r="AX137" s="265"/>
      <c r="AY137" s="264"/>
      <c r="AZ137" s="265"/>
      <c r="BA137" s="264"/>
      <c r="BB137" s="265"/>
      <c r="BC137" s="264"/>
      <c r="BD137" s="265"/>
      <c r="BE137" s="264"/>
      <c r="BF137" s="265"/>
      <c r="BG137" s="264"/>
      <c r="BH137" s="265"/>
      <c r="BI137" s="264"/>
      <c r="BJ137" s="265"/>
      <c r="BK137" s="269"/>
      <c r="BL137" s="269"/>
      <c r="BM137" s="270"/>
    </row>
    <row r="138" spans="1:65" s="282" customFormat="1" ht="18" x14ac:dyDescent="0.25">
      <c r="A138" s="246" t="s">
        <v>923</v>
      </c>
      <c r="B138" s="262"/>
      <c r="C138" s="268"/>
      <c r="D138" s="264"/>
      <c r="E138" s="265"/>
      <c r="F138" s="264"/>
      <c r="G138" s="265"/>
      <c r="H138" s="264"/>
      <c r="I138" s="265"/>
      <c r="J138" s="264"/>
      <c r="K138" s="265"/>
      <c r="L138" s="281"/>
      <c r="M138" s="265"/>
      <c r="N138" s="264"/>
      <c r="O138" s="265"/>
      <c r="P138" s="264"/>
      <c r="Q138" s="265"/>
      <c r="R138" s="264"/>
      <c r="S138" s="265"/>
      <c r="T138" s="264"/>
      <c r="U138" s="265"/>
      <c r="V138" s="264"/>
      <c r="W138" s="265"/>
      <c r="X138" s="264"/>
      <c r="Y138" s="265"/>
      <c r="Z138" s="265"/>
      <c r="AA138" s="264"/>
      <c r="AB138" s="265"/>
      <c r="AC138" s="264"/>
      <c r="AD138" s="264"/>
      <c r="AE138" s="265"/>
      <c r="AF138" s="264"/>
      <c r="AG138" s="265"/>
      <c r="AH138" s="264"/>
      <c r="AI138" s="265"/>
      <c r="AJ138" s="264"/>
      <c r="AK138" s="265"/>
      <c r="AL138" s="264"/>
      <c r="AM138" s="265"/>
      <c r="AN138" s="264"/>
      <c r="AO138" s="265"/>
      <c r="AP138" s="264"/>
      <c r="AQ138" s="265"/>
      <c r="AR138" s="264"/>
      <c r="AS138" s="265"/>
      <c r="AT138" s="265"/>
      <c r="AU138" s="264"/>
      <c r="AV138" s="265"/>
      <c r="AW138" s="264"/>
      <c r="AX138" s="265"/>
      <c r="AY138" s="264"/>
      <c r="AZ138" s="265"/>
      <c r="BA138" s="264"/>
      <c r="BB138" s="265"/>
      <c r="BC138" s="264"/>
      <c r="BD138" s="265"/>
      <c r="BE138" s="264"/>
      <c r="BF138" s="265"/>
      <c r="BG138" s="264"/>
      <c r="BH138" s="265"/>
      <c r="BI138" s="270"/>
      <c r="BJ138" s="268"/>
      <c r="BK138" s="269"/>
      <c r="BL138" s="269"/>
      <c r="BM138" s="270"/>
    </row>
    <row r="139" spans="1:65" s="282" customFormat="1" ht="18" x14ac:dyDescent="0.25">
      <c r="A139" s="246" t="s">
        <v>23</v>
      </c>
      <c r="B139" s="283" t="s">
        <v>1577</v>
      </c>
      <c r="C139" s="268"/>
      <c r="D139" s="281">
        <f>SUM(GenFundExp2!I433+GenFundExp2!I434)</f>
        <v>0</v>
      </c>
      <c r="E139" s="265"/>
      <c r="F139" s="281">
        <f>SUM(CharterFundExp2!I433+CharterFundExp2!I434)</f>
        <v>0</v>
      </c>
      <c r="G139" s="265"/>
      <c r="H139" s="264"/>
      <c r="I139" s="265"/>
      <c r="J139" s="264"/>
      <c r="K139" s="265"/>
      <c r="L139" s="281"/>
      <c r="M139" s="265"/>
      <c r="N139" s="264"/>
      <c r="O139" s="265"/>
      <c r="P139" s="264"/>
      <c r="Q139" s="265"/>
      <c r="R139" s="264"/>
      <c r="S139" s="265"/>
      <c r="T139" s="264"/>
      <c r="U139" s="265"/>
      <c r="V139" s="264"/>
      <c r="W139" s="265"/>
      <c r="X139" s="264"/>
      <c r="Y139" s="265"/>
      <c r="Z139" s="265"/>
      <c r="AA139" s="264"/>
      <c r="AB139" s="265"/>
      <c r="AC139" s="264"/>
      <c r="AD139" s="264"/>
      <c r="AE139" s="265"/>
      <c r="AF139" s="264"/>
      <c r="AG139" s="265"/>
      <c r="AH139" s="264"/>
      <c r="AI139" s="265"/>
      <c r="AJ139" s="264"/>
      <c r="AK139" s="265"/>
      <c r="AL139" s="264"/>
      <c r="AM139" s="265"/>
      <c r="AN139" s="264"/>
      <c r="AO139" s="265"/>
      <c r="AP139" s="264"/>
      <c r="AQ139" s="265"/>
      <c r="AR139" s="264"/>
      <c r="AS139" s="265"/>
      <c r="AT139" s="265"/>
      <c r="AU139" s="264"/>
      <c r="AV139" s="265"/>
      <c r="AW139" s="264"/>
      <c r="AX139" s="265"/>
      <c r="AY139" s="264"/>
      <c r="AZ139" s="265"/>
      <c r="BA139" s="264"/>
      <c r="BB139" s="265"/>
      <c r="BC139" s="264"/>
      <c r="BD139" s="265"/>
      <c r="BE139" s="264"/>
      <c r="BF139" s="265"/>
      <c r="BG139" s="264"/>
      <c r="BH139" s="265"/>
      <c r="BI139" s="264">
        <f t="shared" ref="BI139:BI145" si="14">D139+F139+H139+J139+X139+N139+P139+R139+L139+T139+V139+AA139+AC139+AD139+AF139+AH139+AJ139+AL139+AN139+AP139+AR139+AU139+AW139+AY139+BA139+BC139+BE139+BG139</f>
        <v>0</v>
      </c>
      <c r="BJ139" s="268"/>
      <c r="BK139" s="269"/>
      <c r="BL139" s="269"/>
      <c r="BM139" s="270"/>
    </row>
    <row r="140" spans="1:65" s="282" customFormat="1" ht="18" x14ac:dyDescent="0.25">
      <c r="A140" s="246" t="s">
        <v>24</v>
      </c>
      <c r="B140" s="283" t="s">
        <v>1578</v>
      </c>
      <c r="C140" s="268"/>
      <c r="D140" s="281">
        <f>SUM(GenFundExp2!I435+GenFundExp2!I436)</f>
        <v>0</v>
      </c>
      <c r="E140" s="265"/>
      <c r="F140" s="281">
        <f>SUM(CharterFundExp2!I435+CharterFundExp2!I436)</f>
        <v>0</v>
      </c>
      <c r="G140" s="265"/>
      <c r="H140" s="264"/>
      <c r="I140" s="265"/>
      <c r="J140" s="264"/>
      <c r="K140" s="265"/>
      <c r="L140" s="281"/>
      <c r="M140" s="265"/>
      <c r="N140" s="264"/>
      <c r="O140" s="265"/>
      <c r="P140" s="264"/>
      <c r="Q140" s="265"/>
      <c r="R140" s="264"/>
      <c r="S140" s="265"/>
      <c r="T140" s="264"/>
      <c r="U140" s="265"/>
      <c r="V140" s="264"/>
      <c r="W140" s="265"/>
      <c r="X140" s="264"/>
      <c r="Y140" s="265"/>
      <c r="Z140" s="265"/>
      <c r="AA140" s="264"/>
      <c r="AB140" s="265"/>
      <c r="AC140" s="264"/>
      <c r="AD140" s="264"/>
      <c r="AE140" s="265"/>
      <c r="AF140" s="264"/>
      <c r="AG140" s="265"/>
      <c r="AH140" s="264"/>
      <c r="AI140" s="265"/>
      <c r="AJ140" s="264"/>
      <c r="AK140" s="265"/>
      <c r="AL140" s="264"/>
      <c r="AM140" s="265"/>
      <c r="AN140" s="264"/>
      <c r="AO140" s="265"/>
      <c r="AP140" s="264"/>
      <c r="AQ140" s="265"/>
      <c r="AR140" s="264"/>
      <c r="AS140" s="265"/>
      <c r="AT140" s="265"/>
      <c r="AU140" s="264"/>
      <c r="AV140" s="265"/>
      <c r="AW140" s="264"/>
      <c r="AX140" s="265"/>
      <c r="AY140" s="264"/>
      <c r="AZ140" s="265"/>
      <c r="BA140" s="264"/>
      <c r="BB140" s="265"/>
      <c r="BC140" s="264"/>
      <c r="BD140" s="265"/>
      <c r="BE140" s="264"/>
      <c r="BF140" s="265"/>
      <c r="BG140" s="264"/>
      <c r="BH140" s="265"/>
      <c r="BI140" s="264">
        <f t="shared" si="14"/>
        <v>0</v>
      </c>
      <c r="BJ140" s="268"/>
      <c r="BK140" s="269"/>
      <c r="BL140" s="269"/>
      <c r="BM140" s="270"/>
    </row>
    <row r="141" spans="1:65" s="282" customFormat="1" ht="36" x14ac:dyDescent="0.25">
      <c r="A141" s="246" t="s">
        <v>25</v>
      </c>
      <c r="B141" s="283" t="s">
        <v>773</v>
      </c>
      <c r="C141" s="268"/>
      <c r="D141" s="264">
        <f>SUM(GenFundExp2!I437:I447)</f>
        <v>0</v>
      </c>
      <c r="E141" s="265"/>
      <c r="F141" s="264">
        <f>SUM(CharterFundExp2!I437:I447)</f>
        <v>0</v>
      </c>
      <c r="G141" s="265"/>
      <c r="H141" s="264"/>
      <c r="I141" s="265"/>
      <c r="J141" s="264"/>
      <c r="K141" s="265"/>
      <c r="L141" s="281"/>
      <c r="M141" s="265"/>
      <c r="N141" s="264"/>
      <c r="O141" s="265"/>
      <c r="P141" s="264"/>
      <c r="Q141" s="265"/>
      <c r="R141" s="264"/>
      <c r="S141" s="265"/>
      <c r="T141" s="264"/>
      <c r="U141" s="265"/>
      <c r="V141" s="264"/>
      <c r="W141" s="265"/>
      <c r="X141" s="264"/>
      <c r="Y141" s="265"/>
      <c r="Z141" s="265"/>
      <c r="AA141" s="264"/>
      <c r="AB141" s="265"/>
      <c r="AC141" s="264"/>
      <c r="AD141" s="264"/>
      <c r="AE141" s="265"/>
      <c r="AF141" s="264"/>
      <c r="AG141" s="265"/>
      <c r="AH141" s="264"/>
      <c r="AI141" s="265"/>
      <c r="AJ141" s="264"/>
      <c r="AK141" s="265"/>
      <c r="AL141" s="264"/>
      <c r="AM141" s="265"/>
      <c r="AN141" s="264"/>
      <c r="AO141" s="265"/>
      <c r="AP141" s="264"/>
      <c r="AQ141" s="265"/>
      <c r="AR141" s="264"/>
      <c r="AS141" s="265"/>
      <c r="AT141" s="265"/>
      <c r="AU141" s="264"/>
      <c r="AV141" s="265"/>
      <c r="AW141" s="264"/>
      <c r="AX141" s="265"/>
      <c r="AY141" s="264"/>
      <c r="AZ141" s="265"/>
      <c r="BA141" s="264"/>
      <c r="BB141" s="265"/>
      <c r="BC141" s="264"/>
      <c r="BD141" s="265"/>
      <c r="BE141" s="264"/>
      <c r="BF141" s="265"/>
      <c r="BG141" s="264"/>
      <c r="BH141" s="265"/>
      <c r="BI141" s="264">
        <f t="shared" si="14"/>
        <v>0</v>
      </c>
      <c r="BJ141" s="268"/>
      <c r="BK141" s="269"/>
      <c r="BL141" s="269"/>
      <c r="BM141" s="270"/>
    </row>
    <row r="142" spans="1:65" s="282" customFormat="1" ht="18" x14ac:dyDescent="0.25">
      <c r="A142" s="246" t="s">
        <v>898</v>
      </c>
      <c r="B142" s="283" t="s">
        <v>1582</v>
      </c>
      <c r="C142" s="268"/>
      <c r="D142" s="264">
        <f>SUM(GenFundExp2!I448:I449)</f>
        <v>0</v>
      </c>
      <c r="E142" s="265"/>
      <c r="F142" s="264">
        <f>SUM(CharterFundExp2!I448:I449)</f>
        <v>0</v>
      </c>
      <c r="G142" s="265"/>
      <c r="H142" s="264"/>
      <c r="I142" s="265"/>
      <c r="J142" s="264"/>
      <c r="K142" s="265"/>
      <c r="L142" s="281"/>
      <c r="M142" s="265"/>
      <c r="N142" s="264"/>
      <c r="O142" s="265"/>
      <c r="P142" s="264"/>
      <c r="Q142" s="265"/>
      <c r="R142" s="264"/>
      <c r="S142" s="265"/>
      <c r="T142" s="264"/>
      <c r="U142" s="265"/>
      <c r="V142" s="264"/>
      <c r="W142" s="265"/>
      <c r="X142" s="264"/>
      <c r="Y142" s="265"/>
      <c r="Z142" s="265"/>
      <c r="AA142" s="264"/>
      <c r="AB142" s="265"/>
      <c r="AC142" s="264"/>
      <c r="AD142" s="264"/>
      <c r="AE142" s="265"/>
      <c r="AF142" s="264"/>
      <c r="AG142" s="265"/>
      <c r="AH142" s="264"/>
      <c r="AI142" s="265"/>
      <c r="AJ142" s="264"/>
      <c r="AK142" s="265"/>
      <c r="AL142" s="264"/>
      <c r="AM142" s="265"/>
      <c r="AN142" s="264"/>
      <c r="AO142" s="265"/>
      <c r="AP142" s="264"/>
      <c r="AQ142" s="265"/>
      <c r="AR142" s="264"/>
      <c r="AS142" s="265"/>
      <c r="AT142" s="265"/>
      <c r="AU142" s="264"/>
      <c r="AV142" s="265"/>
      <c r="AW142" s="264"/>
      <c r="AX142" s="265"/>
      <c r="AY142" s="264"/>
      <c r="AZ142" s="265"/>
      <c r="BA142" s="264"/>
      <c r="BB142" s="265"/>
      <c r="BC142" s="264"/>
      <c r="BD142" s="265"/>
      <c r="BE142" s="264"/>
      <c r="BF142" s="265"/>
      <c r="BG142" s="264"/>
      <c r="BH142" s="265"/>
      <c r="BI142" s="264">
        <f t="shared" si="14"/>
        <v>0</v>
      </c>
      <c r="BJ142" s="268"/>
      <c r="BK142" s="269"/>
      <c r="BL142" s="269"/>
      <c r="BM142" s="270"/>
    </row>
    <row r="143" spans="1:65" s="282" customFormat="1" ht="18" x14ac:dyDescent="0.25">
      <c r="A143" s="246" t="s">
        <v>911</v>
      </c>
      <c r="B143" s="283" t="s">
        <v>1583</v>
      </c>
      <c r="C143" s="268"/>
      <c r="D143" s="264">
        <f>SUM(GenFundExp2!I450:I454)</f>
        <v>0</v>
      </c>
      <c r="E143" s="265"/>
      <c r="F143" s="264">
        <f>SUM(CharterFundExp2!I450:I454)</f>
        <v>0</v>
      </c>
      <c r="G143" s="265"/>
      <c r="H143" s="264"/>
      <c r="I143" s="265"/>
      <c r="J143" s="264"/>
      <c r="K143" s="265"/>
      <c r="L143" s="281"/>
      <c r="M143" s="265"/>
      <c r="N143" s="264"/>
      <c r="O143" s="265"/>
      <c r="P143" s="264"/>
      <c r="Q143" s="265"/>
      <c r="R143" s="264"/>
      <c r="S143" s="265"/>
      <c r="T143" s="264"/>
      <c r="U143" s="265"/>
      <c r="V143" s="264"/>
      <c r="W143" s="265"/>
      <c r="X143" s="264"/>
      <c r="Y143" s="265"/>
      <c r="Z143" s="265"/>
      <c r="AA143" s="264"/>
      <c r="AB143" s="265"/>
      <c r="AC143" s="264"/>
      <c r="AD143" s="264"/>
      <c r="AE143" s="265"/>
      <c r="AF143" s="264"/>
      <c r="AG143" s="265"/>
      <c r="AH143" s="264"/>
      <c r="AI143" s="265"/>
      <c r="AJ143" s="264"/>
      <c r="AK143" s="265"/>
      <c r="AL143" s="264"/>
      <c r="AM143" s="265"/>
      <c r="AN143" s="264"/>
      <c r="AO143" s="265"/>
      <c r="AP143" s="264"/>
      <c r="AQ143" s="265"/>
      <c r="AR143" s="264"/>
      <c r="AS143" s="265"/>
      <c r="AT143" s="265"/>
      <c r="AU143" s="264"/>
      <c r="AV143" s="265"/>
      <c r="AW143" s="264"/>
      <c r="AX143" s="265"/>
      <c r="AY143" s="264"/>
      <c r="AZ143" s="265"/>
      <c r="BA143" s="264"/>
      <c r="BB143" s="265"/>
      <c r="BC143" s="264"/>
      <c r="BD143" s="265"/>
      <c r="BE143" s="264"/>
      <c r="BF143" s="265"/>
      <c r="BG143" s="264"/>
      <c r="BH143" s="265"/>
      <c r="BI143" s="264">
        <f t="shared" si="14"/>
        <v>0</v>
      </c>
      <c r="BJ143" s="268"/>
      <c r="BK143" s="269"/>
      <c r="BL143" s="269"/>
      <c r="BM143" s="270"/>
    </row>
    <row r="144" spans="1:65" s="282" customFormat="1" ht="18.75" thickBot="1" x14ac:dyDescent="0.3">
      <c r="A144" s="246" t="s">
        <v>900</v>
      </c>
      <c r="B144" s="283" t="s">
        <v>901</v>
      </c>
      <c r="C144" s="268"/>
      <c r="D144" s="264">
        <f>SUM(GenFundExp2!I455:I460)</f>
        <v>0</v>
      </c>
      <c r="E144" s="265"/>
      <c r="F144" s="264">
        <f>SUM(CharterFundExp2!I455:I460)</f>
        <v>0</v>
      </c>
      <c r="G144" s="265"/>
      <c r="H144" s="264"/>
      <c r="I144" s="265"/>
      <c r="J144" s="264"/>
      <c r="K144" s="265"/>
      <c r="L144" s="281"/>
      <c r="M144" s="265"/>
      <c r="N144" s="264"/>
      <c r="O144" s="265"/>
      <c r="P144" s="264"/>
      <c r="Q144" s="265"/>
      <c r="R144" s="264"/>
      <c r="S144" s="265"/>
      <c r="T144" s="264"/>
      <c r="U144" s="265"/>
      <c r="V144" s="264"/>
      <c r="W144" s="265"/>
      <c r="X144" s="264"/>
      <c r="Y144" s="265"/>
      <c r="Z144" s="265"/>
      <c r="AA144" s="264"/>
      <c r="AB144" s="265"/>
      <c r="AC144" s="264"/>
      <c r="AD144" s="264"/>
      <c r="AE144" s="265"/>
      <c r="AF144" s="264"/>
      <c r="AG144" s="265"/>
      <c r="AH144" s="264"/>
      <c r="AI144" s="265"/>
      <c r="AJ144" s="264"/>
      <c r="AK144" s="265"/>
      <c r="AL144" s="264"/>
      <c r="AM144" s="265"/>
      <c r="AN144" s="264"/>
      <c r="AO144" s="265"/>
      <c r="AP144" s="264"/>
      <c r="AQ144" s="265"/>
      <c r="AR144" s="264"/>
      <c r="AS144" s="265"/>
      <c r="AT144" s="265"/>
      <c r="AU144" s="264"/>
      <c r="AV144" s="265"/>
      <c r="AW144" s="264"/>
      <c r="AX144" s="265"/>
      <c r="AY144" s="264"/>
      <c r="AZ144" s="265"/>
      <c r="BA144" s="264"/>
      <c r="BB144" s="265"/>
      <c r="BC144" s="264"/>
      <c r="BD144" s="265"/>
      <c r="BE144" s="264"/>
      <c r="BF144" s="265"/>
      <c r="BG144" s="264"/>
      <c r="BH144" s="265"/>
      <c r="BI144" s="264">
        <f t="shared" si="14"/>
        <v>0</v>
      </c>
      <c r="BJ144" s="268"/>
      <c r="BK144" s="269"/>
      <c r="BL144" s="269"/>
      <c r="BM144" s="270"/>
    </row>
    <row r="145" spans="1:65" s="282" customFormat="1" ht="18.75" thickBot="1" x14ac:dyDescent="0.3">
      <c r="A145" s="271" t="s">
        <v>924</v>
      </c>
      <c r="B145" s="279"/>
      <c r="C145" s="275"/>
      <c r="D145" s="274">
        <f>SUM(D139:D144)</f>
        <v>0</v>
      </c>
      <c r="E145" s="275"/>
      <c r="F145" s="274">
        <f>SUM(F139:F144)</f>
        <v>0</v>
      </c>
      <c r="G145" s="275"/>
      <c r="H145" s="274">
        <f>SUM(H139:H144)</f>
        <v>0</v>
      </c>
      <c r="I145" s="275"/>
      <c r="J145" s="274">
        <f>SUM(J139:J144)</f>
        <v>0</v>
      </c>
      <c r="K145" s="275"/>
      <c r="L145" s="274">
        <f>SUM(L139:L144)</f>
        <v>0</v>
      </c>
      <c r="M145" s="275"/>
      <c r="N145" s="274">
        <f>SUM(N139:N144)</f>
        <v>0</v>
      </c>
      <c r="O145" s="275"/>
      <c r="P145" s="274">
        <f>SUM(P139:P144)</f>
        <v>0</v>
      </c>
      <c r="Q145" s="275"/>
      <c r="R145" s="274">
        <f>SUM(R139:R144)</f>
        <v>0</v>
      </c>
      <c r="S145" s="275"/>
      <c r="T145" s="274">
        <f>SUM(T139:T144)</f>
        <v>0</v>
      </c>
      <c r="U145" s="275"/>
      <c r="V145" s="274">
        <f>SUM(V139:V144)</f>
        <v>0</v>
      </c>
      <c r="W145" s="275"/>
      <c r="X145" s="274">
        <f>SUM(X139:X144)</f>
        <v>0</v>
      </c>
      <c r="Y145" s="275"/>
      <c r="Z145" s="275"/>
      <c r="AA145" s="274">
        <f>SUM(AA139:AA144)</f>
        <v>0</v>
      </c>
      <c r="AB145" s="275"/>
      <c r="AC145" s="274">
        <f>SUM(AC139:AC144)</f>
        <v>0</v>
      </c>
      <c r="AD145" s="274">
        <f>SUM(AD139:AD144)</f>
        <v>0</v>
      </c>
      <c r="AE145" s="275"/>
      <c r="AF145" s="274">
        <f>SUM(AF139:AF144)</f>
        <v>0</v>
      </c>
      <c r="AG145" s="275"/>
      <c r="AH145" s="274">
        <f>SUM(AH139:AH144)</f>
        <v>0</v>
      </c>
      <c r="AI145" s="275"/>
      <c r="AJ145" s="274">
        <f>SUM(AJ139:AJ144)</f>
        <v>0</v>
      </c>
      <c r="AK145" s="275"/>
      <c r="AL145" s="274">
        <f>SUM(AL139:AL144)</f>
        <v>0</v>
      </c>
      <c r="AM145" s="275"/>
      <c r="AN145" s="274">
        <f>SUM(AN139:AN144)</f>
        <v>0</v>
      </c>
      <c r="AO145" s="275"/>
      <c r="AP145" s="274">
        <f>SUM(AP139:AP144)</f>
        <v>0</v>
      </c>
      <c r="AQ145" s="275"/>
      <c r="AR145" s="274">
        <f>SUM(AR139:AR144)</f>
        <v>0</v>
      </c>
      <c r="AS145" s="275"/>
      <c r="AT145" s="275"/>
      <c r="AU145" s="274">
        <f>SUM(AU139:AU144)</f>
        <v>0</v>
      </c>
      <c r="AV145" s="275"/>
      <c r="AW145" s="274">
        <f>SUM(AW139:AW144)</f>
        <v>0</v>
      </c>
      <c r="AX145" s="275"/>
      <c r="AY145" s="274">
        <f>SUM(AY139:AY144)</f>
        <v>0</v>
      </c>
      <c r="AZ145" s="275"/>
      <c r="BA145" s="274">
        <f>SUM(BA139:BA144)</f>
        <v>0</v>
      </c>
      <c r="BB145" s="275"/>
      <c r="BC145" s="274">
        <f>SUM(BC139:BC144)</f>
        <v>0</v>
      </c>
      <c r="BD145" s="275"/>
      <c r="BE145" s="274">
        <f>SUM(BE139:BE144)</f>
        <v>0</v>
      </c>
      <c r="BF145" s="275"/>
      <c r="BG145" s="274">
        <f>SUM(BG139:BG144)</f>
        <v>0</v>
      </c>
      <c r="BH145" s="275"/>
      <c r="BI145" s="274">
        <f t="shared" si="14"/>
        <v>0</v>
      </c>
      <c r="BJ145" s="275"/>
      <c r="BK145" s="276"/>
      <c r="BL145" s="276"/>
      <c r="BM145" s="270"/>
    </row>
    <row r="146" spans="1:65" s="282" customFormat="1" ht="18" x14ac:dyDescent="0.25">
      <c r="A146" s="246"/>
      <c r="B146" s="262"/>
      <c r="C146" s="266"/>
      <c r="D146" s="264"/>
      <c r="E146" s="265"/>
      <c r="F146" s="264"/>
      <c r="G146" s="265"/>
      <c r="H146" s="264"/>
      <c r="I146" s="265"/>
      <c r="J146" s="264"/>
      <c r="K146" s="265"/>
      <c r="L146" s="281"/>
      <c r="M146" s="265"/>
      <c r="N146" s="264"/>
      <c r="O146" s="265"/>
      <c r="P146" s="264"/>
      <c r="Q146" s="265"/>
      <c r="R146" s="264"/>
      <c r="S146" s="265"/>
      <c r="T146" s="264"/>
      <c r="U146" s="265"/>
      <c r="V146" s="264"/>
      <c r="W146" s="265"/>
      <c r="X146" s="264"/>
      <c r="Y146" s="265"/>
      <c r="Z146" s="265"/>
      <c r="AA146" s="264"/>
      <c r="AB146" s="265"/>
      <c r="AC146" s="264"/>
      <c r="AD146" s="264"/>
      <c r="AE146" s="265"/>
      <c r="AF146" s="264"/>
      <c r="AG146" s="265"/>
      <c r="AH146" s="264"/>
      <c r="AI146" s="265"/>
      <c r="AJ146" s="264"/>
      <c r="AK146" s="265"/>
      <c r="AL146" s="264"/>
      <c r="AM146" s="265"/>
      <c r="AN146" s="264"/>
      <c r="AO146" s="265"/>
      <c r="AP146" s="264"/>
      <c r="AQ146" s="265"/>
      <c r="AR146" s="264"/>
      <c r="AS146" s="265"/>
      <c r="AT146" s="265"/>
      <c r="AU146" s="264"/>
      <c r="AV146" s="265"/>
      <c r="AW146" s="264"/>
      <c r="AX146" s="265"/>
      <c r="AY146" s="264"/>
      <c r="AZ146" s="265"/>
      <c r="BA146" s="264"/>
      <c r="BB146" s="265"/>
      <c r="BC146" s="264"/>
      <c r="BD146" s="265"/>
      <c r="BE146" s="264"/>
      <c r="BF146" s="265"/>
      <c r="BG146" s="264"/>
      <c r="BH146" s="265"/>
      <c r="BI146" s="264"/>
      <c r="BJ146" s="266"/>
      <c r="BK146" s="269"/>
      <c r="BL146" s="269"/>
      <c r="BM146" s="270"/>
    </row>
    <row r="147" spans="1:65" s="282" customFormat="1" ht="18" x14ac:dyDescent="0.25">
      <c r="A147" s="246" t="s">
        <v>408</v>
      </c>
      <c r="B147" s="262"/>
      <c r="C147" s="265"/>
      <c r="D147" s="264"/>
      <c r="E147" s="265"/>
      <c r="F147" s="264"/>
      <c r="G147" s="265"/>
      <c r="H147" s="264"/>
      <c r="I147" s="265"/>
      <c r="J147" s="264"/>
      <c r="K147" s="265"/>
      <c r="L147" s="281"/>
      <c r="M147" s="265"/>
      <c r="N147" s="264"/>
      <c r="O147" s="265"/>
      <c r="P147" s="264"/>
      <c r="Q147" s="265"/>
      <c r="R147" s="264"/>
      <c r="S147" s="265"/>
      <c r="T147" s="264"/>
      <c r="U147" s="265"/>
      <c r="V147" s="264"/>
      <c r="W147" s="265"/>
      <c r="X147" s="264"/>
      <c r="Y147" s="265"/>
      <c r="Z147" s="265"/>
      <c r="AA147" s="264"/>
      <c r="AB147" s="265"/>
      <c r="AC147" s="264"/>
      <c r="AD147" s="264"/>
      <c r="AE147" s="265"/>
      <c r="AF147" s="264"/>
      <c r="AG147" s="265"/>
      <c r="AH147" s="264"/>
      <c r="AI147" s="265"/>
      <c r="AJ147" s="264"/>
      <c r="AK147" s="265"/>
      <c r="AL147" s="264"/>
      <c r="AM147" s="265"/>
      <c r="AN147" s="264"/>
      <c r="AO147" s="265"/>
      <c r="AP147" s="264"/>
      <c r="AQ147" s="265"/>
      <c r="AR147" s="264"/>
      <c r="AS147" s="265"/>
      <c r="AT147" s="265"/>
      <c r="AU147" s="264"/>
      <c r="AV147" s="265"/>
      <c r="AW147" s="264"/>
      <c r="AX147" s="265"/>
      <c r="AY147" s="264"/>
      <c r="AZ147" s="265"/>
      <c r="BA147" s="264"/>
      <c r="BB147" s="265"/>
      <c r="BC147" s="264"/>
      <c r="BD147" s="265"/>
      <c r="BE147" s="264"/>
      <c r="BF147" s="265"/>
      <c r="BG147" s="264"/>
      <c r="BH147" s="265"/>
      <c r="BI147" s="264"/>
      <c r="BJ147" s="265"/>
      <c r="BK147" s="269"/>
      <c r="BL147" s="269"/>
      <c r="BM147" s="270"/>
    </row>
    <row r="148" spans="1:65" s="282" customFormat="1" ht="18" x14ac:dyDescent="0.25">
      <c r="A148" s="246" t="s">
        <v>23</v>
      </c>
      <c r="B148" s="283" t="s">
        <v>1577</v>
      </c>
      <c r="C148" s="265"/>
      <c r="D148" s="281">
        <f>SUM(GenFundExp2!I464+GenFundExp2!I465)</f>
        <v>0</v>
      </c>
      <c r="E148" s="265"/>
      <c r="F148" s="281">
        <f>SUM(CharterFundExp2!I464+CharterFundExp2!I465)</f>
        <v>0</v>
      </c>
      <c r="G148" s="265"/>
      <c r="H148" s="264"/>
      <c r="I148" s="265"/>
      <c r="J148" s="264"/>
      <c r="K148" s="265"/>
      <c r="L148" s="281"/>
      <c r="M148" s="265"/>
      <c r="N148" s="264"/>
      <c r="O148" s="265"/>
      <c r="P148" s="264"/>
      <c r="Q148" s="265"/>
      <c r="R148" s="264"/>
      <c r="S148" s="265"/>
      <c r="T148" s="264"/>
      <c r="U148" s="265"/>
      <c r="V148" s="264"/>
      <c r="W148" s="265"/>
      <c r="X148" s="264"/>
      <c r="Y148" s="265"/>
      <c r="Z148" s="265"/>
      <c r="AA148" s="264"/>
      <c r="AB148" s="265"/>
      <c r="AC148" s="264"/>
      <c r="AD148" s="264"/>
      <c r="AE148" s="265"/>
      <c r="AF148" s="264"/>
      <c r="AG148" s="265"/>
      <c r="AH148" s="264"/>
      <c r="AI148" s="265"/>
      <c r="AJ148" s="264"/>
      <c r="AK148" s="265"/>
      <c r="AL148" s="264"/>
      <c r="AM148" s="265"/>
      <c r="AN148" s="264"/>
      <c r="AO148" s="265"/>
      <c r="AP148" s="264"/>
      <c r="AQ148" s="265"/>
      <c r="AR148" s="264"/>
      <c r="AS148" s="265"/>
      <c r="AT148" s="265"/>
      <c r="AU148" s="264"/>
      <c r="AV148" s="265"/>
      <c r="AW148" s="264"/>
      <c r="AX148" s="265"/>
      <c r="AY148" s="264"/>
      <c r="AZ148" s="265"/>
      <c r="BA148" s="264"/>
      <c r="BB148" s="265"/>
      <c r="BC148" s="264"/>
      <c r="BD148" s="265"/>
      <c r="BE148" s="264"/>
      <c r="BF148" s="265"/>
      <c r="BG148" s="264"/>
      <c r="BH148" s="265"/>
      <c r="BI148" s="264">
        <f t="shared" ref="BI148:BI154" si="15">D148+F148+H148+J148+X148+N148+P148+R148+L148+T148+V148+AA148+AC148+AD148+AF148+AH148+AJ148+AL148+AN148+AP148+AR148+AU148+AW148+AY148+BA148+BC148+BE148+BG148</f>
        <v>0</v>
      </c>
      <c r="BJ148" s="265"/>
      <c r="BK148" s="269"/>
      <c r="BL148" s="269"/>
      <c r="BM148" s="270"/>
    </row>
    <row r="149" spans="1:65" s="282" customFormat="1" ht="18" x14ac:dyDescent="0.25">
      <c r="A149" s="246" t="s">
        <v>24</v>
      </c>
      <c r="B149" s="283" t="s">
        <v>1578</v>
      </c>
      <c r="C149" s="265"/>
      <c r="D149" s="281">
        <f>SUM(GenFundExp2!I466+GenFundExp2!I467)</f>
        <v>0</v>
      </c>
      <c r="E149" s="265"/>
      <c r="F149" s="281">
        <f>SUM(CharterFundExp2!I466+CharterFundExp2!I467)</f>
        <v>0</v>
      </c>
      <c r="G149" s="265"/>
      <c r="H149" s="264"/>
      <c r="I149" s="265"/>
      <c r="J149" s="264"/>
      <c r="K149" s="265"/>
      <c r="L149" s="281"/>
      <c r="M149" s="265"/>
      <c r="N149" s="264"/>
      <c r="O149" s="265"/>
      <c r="P149" s="264"/>
      <c r="Q149" s="265"/>
      <c r="R149" s="264"/>
      <c r="S149" s="265"/>
      <c r="T149" s="264"/>
      <c r="U149" s="265"/>
      <c r="V149" s="264"/>
      <c r="W149" s="265"/>
      <c r="X149" s="264"/>
      <c r="Y149" s="265"/>
      <c r="Z149" s="265"/>
      <c r="AA149" s="264"/>
      <c r="AB149" s="265"/>
      <c r="AC149" s="264"/>
      <c r="AD149" s="264"/>
      <c r="AE149" s="265"/>
      <c r="AF149" s="264"/>
      <c r="AG149" s="265"/>
      <c r="AH149" s="264"/>
      <c r="AI149" s="265"/>
      <c r="AJ149" s="264"/>
      <c r="AK149" s="265"/>
      <c r="AL149" s="264"/>
      <c r="AM149" s="265"/>
      <c r="AN149" s="264"/>
      <c r="AO149" s="265"/>
      <c r="AP149" s="264"/>
      <c r="AQ149" s="265"/>
      <c r="AR149" s="264"/>
      <c r="AS149" s="265"/>
      <c r="AT149" s="265"/>
      <c r="AU149" s="264"/>
      <c r="AV149" s="265"/>
      <c r="AW149" s="264"/>
      <c r="AX149" s="265"/>
      <c r="AY149" s="264"/>
      <c r="AZ149" s="265"/>
      <c r="BA149" s="264"/>
      <c r="BB149" s="265"/>
      <c r="BC149" s="264"/>
      <c r="BD149" s="265"/>
      <c r="BE149" s="264"/>
      <c r="BF149" s="265"/>
      <c r="BG149" s="264"/>
      <c r="BH149" s="265"/>
      <c r="BI149" s="264">
        <f t="shared" si="15"/>
        <v>0</v>
      </c>
      <c r="BJ149" s="265"/>
      <c r="BK149" s="269"/>
      <c r="BL149" s="269"/>
      <c r="BM149" s="270"/>
    </row>
    <row r="150" spans="1:65" s="282" customFormat="1" ht="36" x14ac:dyDescent="0.25">
      <c r="A150" s="246" t="s">
        <v>25</v>
      </c>
      <c r="B150" s="283" t="s">
        <v>773</v>
      </c>
      <c r="C150" s="265"/>
      <c r="D150" s="264">
        <f>SUM(GenFundExp2!I468:I479)</f>
        <v>0</v>
      </c>
      <c r="E150" s="265"/>
      <c r="F150" s="264">
        <f>SUM(CharterFundExp2!I468:I479)</f>
        <v>0</v>
      </c>
      <c r="G150" s="265"/>
      <c r="H150" s="264"/>
      <c r="I150" s="265"/>
      <c r="J150" s="264"/>
      <c r="K150" s="265"/>
      <c r="L150" s="281"/>
      <c r="M150" s="265"/>
      <c r="N150" s="264"/>
      <c r="O150" s="265"/>
      <c r="P150" s="264"/>
      <c r="Q150" s="265"/>
      <c r="R150" s="264"/>
      <c r="S150" s="265"/>
      <c r="T150" s="264"/>
      <c r="U150" s="265"/>
      <c r="V150" s="264"/>
      <c r="W150" s="265"/>
      <c r="X150" s="264"/>
      <c r="Y150" s="265"/>
      <c r="Z150" s="265"/>
      <c r="AA150" s="264"/>
      <c r="AB150" s="265"/>
      <c r="AC150" s="264"/>
      <c r="AD150" s="264"/>
      <c r="AE150" s="265"/>
      <c r="AF150" s="264"/>
      <c r="AG150" s="265"/>
      <c r="AH150" s="264"/>
      <c r="AI150" s="265"/>
      <c r="AJ150" s="264"/>
      <c r="AK150" s="265"/>
      <c r="AL150" s="264"/>
      <c r="AM150" s="265"/>
      <c r="AN150" s="264"/>
      <c r="AO150" s="265"/>
      <c r="AP150" s="264"/>
      <c r="AQ150" s="265"/>
      <c r="AR150" s="264"/>
      <c r="AS150" s="265"/>
      <c r="AT150" s="265"/>
      <c r="AU150" s="264"/>
      <c r="AV150" s="265"/>
      <c r="AW150" s="264"/>
      <c r="AX150" s="265"/>
      <c r="AY150" s="264"/>
      <c r="AZ150" s="265"/>
      <c r="BA150" s="264"/>
      <c r="BB150" s="265"/>
      <c r="BC150" s="264"/>
      <c r="BD150" s="265"/>
      <c r="BE150" s="264"/>
      <c r="BF150" s="265"/>
      <c r="BG150" s="264"/>
      <c r="BH150" s="265"/>
      <c r="BI150" s="264">
        <f t="shared" si="15"/>
        <v>0</v>
      </c>
      <c r="BJ150" s="265"/>
      <c r="BK150" s="269"/>
      <c r="BL150" s="269"/>
      <c r="BM150" s="270"/>
    </row>
    <row r="151" spans="1:65" s="282" customFormat="1" ht="18" x14ac:dyDescent="0.25">
      <c r="A151" s="246" t="s">
        <v>898</v>
      </c>
      <c r="B151" s="283" t="s">
        <v>1582</v>
      </c>
      <c r="C151" s="265"/>
      <c r="D151" s="264">
        <f>SUM(GenFundExp2!I480:I481)</f>
        <v>0</v>
      </c>
      <c r="E151" s="265"/>
      <c r="F151" s="264">
        <f>SUM(CharterFundExp2!I480:I481)</f>
        <v>0</v>
      </c>
      <c r="G151" s="265"/>
      <c r="H151" s="264"/>
      <c r="I151" s="265"/>
      <c r="J151" s="264"/>
      <c r="K151" s="265"/>
      <c r="L151" s="281"/>
      <c r="M151" s="265"/>
      <c r="N151" s="264"/>
      <c r="O151" s="265"/>
      <c r="P151" s="264"/>
      <c r="Q151" s="265"/>
      <c r="R151" s="264"/>
      <c r="S151" s="265"/>
      <c r="T151" s="264"/>
      <c r="U151" s="265"/>
      <c r="V151" s="264"/>
      <c r="W151" s="265"/>
      <c r="X151" s="264"/>
      <c r="Y151" s="265"/>
      <c r="Z151" s="265"/>
      <c r="AA151" s="264"/>
      <c r="AB151" s="265"/>
      <c r="AC151" s="264"/>
      <c r="AD151" s="264"/>
      <c r="AE151" s="265"/>
      <c r="AF151" s="264"/>
      <c r="AG151" s="265"/>
      <c r="AH151" s="264"/>
      <c r="AI151" s="265"/>
      <c r="AJ151" s="264"/>
      <c r="AK151" s="265"/>
      <c r="AL151" s="264"/>
      <c r="AM151" s="265"/>
      <c r="AN151" s="264"/>
      <c r="AO151" s="265"/>
      <c r="AP151" s="264"/>
      <c r="AQ151" s="265"/>
      <c r="AR151" s="264"/>
      <c r="AS151" s="265"/>
      <c r="AT151" s="265"/>
      <c r="AU151" s="264"/>
      <c r="AV151" s="265"/>
      <c r="AW151" s="264"/>
      <c r="AX151" s="265"/>
      <c r="AY151" s="264"/>
      <c r="AZ151" s="265"/>
      <c r="BA151" s="264"/>
      <c r="BB151" s="265"/>
      <c r="BC151" s="264"/>
      <c r="BD151" s="265"/>
      <c r="BE151" s="264"/>
      <c r="BF151" s="265"/>
      <c r="BG151" s="264"/>
      <c r="BH151" s="265"/>
      <c r="BI151" s="264">
        <f t="shared" si="15"/>
        <v>0</v>
      </c>
      <c r="BJ151" s="265"/>
      <c r="BK151" s="269"/>
      <c r="BL151" s="269"/>
      <c r="BM151" s="270"/>
    </row>
    <row r="152" spans="1:65" s="282" customFormat="1" ht="18" x14ac:dyDescent="0.25">
      <c r="A152" s="246" t="s">
        <v>911</v>
      </c>
      <c r="B152" s="283" t="s">
        <v>1583</v>
      </c>
      <c r="C152" s="265"/>
      <c r="D152" s="264">
        <f>SUM(GenFundExp2!I482:I485)</f>
        <v>0</v>
      </c>
      <c r="E152" s="265"/>
      <c r="F152" s="264">
        <f>SUM(CharterFundExp2!I482:I485)</f>
        <v>0</v>
      </c>
      <c r="G152" s="265"/>
      <c r="H152" s="264"/>
      <c r="I152" s="265"/>
      <c r="J152" s="264"/>
      <c r="K152" s="265"/>
      <c r="L152" s="281"/>
      <c r="M152" s="265"/>
      <c r="N152" s="264"/>
      <c r="O152" s="265"/>
      <c r="P152" s="264"/>
      <c r="Q152" s="265"/>
      <c r="R152" s="264"/>
      <c r="S152" s="265"/>
      <c r="T152" s="264"/>
      <c r="U152" s="265"/>
      <c r="V152" s="264"/>
      <c r="W152" s="265"/>
      <c r="X152" s="264"/>
      <c r="Y152" s="265"/>
      <c r="Z152" s="265"/>
      <c r="AA152" s="264"/>
      <c r="AB152" s="265"/>
      <c r="AC152" s="264"/>
      <c r="AD152" s="264"/>
      <c r="AE152" s="265"/>
      <c r="AF152" s="264"/>
      <c r="AG152" s="265"/>
      <c r="AH152" s="264"/>
      <c r="AI152" s="265"/>
      <c r="AJ152" s="264"/>
      <c r="AK152" s="265"/>
      <c r="AL152" s="264"/>
      <c r="AM152" s="265"/>
      <c r="AN152" s="264"/>
      <c r="AO152" s="265"/>
      <c r="AP152" s="264"/>
      <c r="AQ152" s="265"/>
      <c r="AR152" s="264"/>
      <c r="AS152" s="265"/>
      <c r="AT152" s="265"/>
      <c r="AU152" s="264"/>
      <c r="AV152" s="265"/>
      <c r="AW152" s="264"/>
      <c r="AX152" s="265"/>
      <c r="AY152" s="264"/>
      <c r="AZ152" s="265"/>
      <c r="BA152" s="264"/>
      <c r="BB152" s="265"/>
      <c r="BC152" s="264"/>
      <c r="BD152" s="265"/>
      <c r="BE152" s="264"/>
      <c r="BF152" s="265"/>
      <c r="BG152" s="264"/>
      <c r="BH152" s="265"/>
      <c r="BI152" s="264">
        <f t="shared" si="15"/>
        <v>0</v>
      </c>
      <c r="BJ152" s="265"/>
      <c r="BK152" s="269"/>
      <c r="BL152" s="269"/>
      <c r="BM152" s="270"/>
    </row>
    <row r="153" spans="1:65" s="282" customFormat="1" ht="18.75" thickBot="1" x14ac:dyDescent="0.3">
      <c r="A153" s="246" t="s">
        <v>900</v>
      </c>
      <c r="B153" s="283" t="s">
        <v>901</v>
      </c>
      <c r="C153" s="265"/>
      <c r="D153" s="264">
        <f>SUM(GenFundExp2!I486:I491)</f>
        <v>0</v>
      </c>
      <c r="E153" s="265"/>
      <c r="F153" s="264">
        <f>SUM(CharterFundExp2!I486:I491)</f>
        <v>0</v>
      </c>
      <c r="G153" s="265"/>
      <c r="H153" s="264"/>
      <c r="I153" s="265"/>
      <c r="J153" s="264"/>
      <c r="K153" s="265"/>
      <c r="L153" s="281"/>
      <c r="M153" s="265"/>
      <c r="N153" s="264"/>
      <c r="O153" s="265"/>
      <c r="P153" s="264"/>
      <c r="Q153" s="265"/>
      <c r="R153" s="264"/>
      <c r="S153" s="265"/>
      <c r="T153" s="264"/>
      <c r="U153" s="265"/>
      <c r="V153" s="264"/>
      <c r="W153" s="265"/>
      <c r="X153" s="264"/>
      <c r="Y153" s="265"/>
      <c r="Z153" s="265"/>
      <c r="AA153" s="264"/>
      <c r="AB153" s="265"/>
      <c r="AC153" s="264"/>
      <c r="AD153" s="264"/>
      <c r="AE153" s="265"/>
      <c r="AF153" s="264"/>
      <c r="AG153" s="265"/>
      <c r="AH153" s="264"/>
      <c r="AI153" s="265"/>
      <c r="AJ153" s="264"/>
      <c r="AK153" s="265"/>
      <c r="AL153" s="264"/>
      <c r="AM153" s="265"/>
      <c r="AN153" s="264"/>
      <c r="AO153" s="265"/>
      <c r="AP153" s="264"/>
      <c r="AQ153" s="265"/>
      <c r="AR153" s="264"/>
      <c r="AS153" s="265"/>
      <c r="AT153" s="265"/>
      <c r="AU153" s="264"/>
      <c r="AV153" s="265"/>
      <c r="AW153" s="264"/>
      <c r="AX153" s="265"/>
      <c r="AY153" s="264"/>
      <c r="AZ153" s="265"/>
      <c r="BA153" s="264"/>
      <c r="BB153" s="265"/>
      <c r="BC153" s="264"/>
      <c r="BD153" s="265"/>
      <c r="BE153" s="264"/>
      <c r="BF153" s="265"/>
      <c r="BG153" s="264"/>
      <c r="BH153" s="265"/>
      <c r="BI153" s="264">
        <f t="shared" si="15"/>
        <v>0</v>
      </c>
      <c r="BJ153" s="265"/>
      <c r="BK153" s="269"/>
      <c r="BL153" s="269"/>
      <c r="BM153" s="270"/>
    </row>
    <row r="154" spans="1:65" s="282" customFormat="1" ht="18.75" thickBot="1" x14ac:dyDescent="0.3">
      <c r="A154" s="271" t="s">
        <v>544</v>
      </c>
      <c r="B154" s="279"/>
      <c r="C154" s="265"/>
      <c r="D154" s="274">
        <f>SUM(D148:D153)</f>
        <v>0</v>
      </c>
      <c r="E154" s="275"/>
      <c r="F154" s="274">
        <f>SUM(F148:F153)</f>
        <v>0</v>
      </c>
      <c r="G154" s="275"/>
      <c r="H154" s="274">
        <f>SUM(H148:H153)</f>
        <v>0</v>
      </c>
      <c r="I154" s="275"/>
      <c r="J154" s="274">
        <f>SUM(J148:J153)</f>
        <v>0</v>
      </c>
      <c r="K154" s="275"/>
      <c r="L154" s="274">
        <f>SUM(L148:L153)</f>
        <v>0</v>
      </c>
      <c r="M154" s="275"/>
      <c r="N154" s="274">
        <f>SUM(N148:N153)</f>
        <v>0</v>
      </c>
      <c r="O154" s="275"/>
      <c r="P154" s="274">
        <f>SUM(P148:P153)</f>
        <v>0</v>
      </c>
      <c r="Q154" s="275"/>
      <c r="R154" s="274">
        <f>SUM(R148:R153)</f>
        <v>0</v>
      </c>
      <c r="S154" s="275"/>
      <c r="T154" s="274">
        <f>SUM(T148:T153)</f>
        <v>0</v>
      </c>
      <c r="U154" s="275"/>
      <c r="V154" s="274">
        <f>SUM(V148:V153)</f>
        <v>0</v>
      </c>
      <c r="W154" s="275"/>
      <c r="X154" s="274">
        <f>SUM(X148:X153)</f>
        <v>0</v>
      </c>
      <c r="Y154" s="275"/>
      <c r="Z154" s="275"/>
      <c r="AA154" s="274">
        <f>SUM(AA148:AA153)</f>
        <v>0</v>
      </c>
      <c r="AB154" s="275"/>
      <c r="AC154" s="274">
        <f>SUM(AC148:AC153)</f>
        <v>0</v>
      </c>
      <c r="AD154" s="274">
        <f>SUM(AD148:AD153)</f>
        <v>0</v>
      </c>
      <c r="AE154" s="275"/>
      <c r="AF154" s="274">
        <f>SUM(AF148:AF153)</f>
        <v>0</v>
      </c>
      <c r="AG154" s="275"/>
      <c r="AH154" s="274">
        <f>SUM(AH148:AH153)</f>
        <v>0</v>
      </c>
      <c r="AI154" s="275"/>
      <c r="AJ154" s="274">
        <f>SUM(AJ148:AJ153)</f>
        <v>0</v>
      </c>
      <c r="AK154" s="275"/>
      <c r="AL154" s="274">
        <f>SUM(AL148:AL153)</f>
        <v>0</v>
      </c>
      <c r="AM154" s="275"/>
      <c r="AN154" s="274">
        <f>SUM(AN148:AN153)</f>
        <v>0</v>
      </c>
      <c r="AO154" s="275"/>
      <c r="AP154" s="274">
        <f>SUM(AP148:AP153)</f>
        <v>0</v>
      </c>
      <c r="AQ154" s="275"/>
      <c r="AR154" s="274">
        <f>SUM(AR148:AR153)</f>
        <v>0</v>
      </c>
      <c r="AS154" s="275"/>
      <c r="AT154" s="275"/>
      <c r="AU154" s="274">
        <f>SUM(AU148:AU153)</f>
        <v>0</v>
      </c>
      <c r="AV154" s="275"/>
      <c r="AW154" s="274">
        <f>SUM(AW148:AW153)</f>
        <v>0</v>
      </c>
      <c r="AX154" s="275"/>
      <c r="AY154" s="274">
        <f>SUM(AY148:AY153)</f>
        <v>0</v>
      </c>
      <c r="AZ154" s="275"/>
      <c r="BA154" s="274">
        <f>SUM(BA148:BA153)</f>
        <v>0</v>
      </c>
      <c r="BB154" s="275"/>
      <c r="BC154" s="274">
        <f>SUM(BC148:BC153)</f>
        <v>0</v>
      </c>
      <c r="BD154" s="275"/>
      <c r="BE154" s="274">
        <f>SUM(BE148:BE153)</f>
        <v>0</v>
      </c>
      <c r="BF154" s="275"/>
      <c r="BG154" s="274">
        <f>SUM(BG148:BG153)</f>
        <v>0</v>
      </c>
      <c r="BH154" s="275"/>
      <c r="BI154" s="274">
        <f t="shared" si="15"/>
        <v>0</v>
      </c>
      <c r="BJ154" s="265"/>
      <c r="BK154" s="269"/>
      <c r="BL154" s="269"/>
      <c r="BM154" s="270"/>
    </row>
    <row r="155" spans="1:65" s="282" customFormat="1" ht="18.75" thickBot="1" x14ac:dyDescent="0.3">
      <c r="A155" s="246"/>
      <c r="B155" s="262"/>
      <c r="C155" s="265"/>
      <c r="D155" s="264"/>
      <c r="E155" s="265"/>
      <c r="F155" s="264"/>
      <c r="G155" s="265"/>
      <c r="H155" s="264"/>
      <c r="I155" s="265"/>
      <c r="J155" s="264"/>
      <c r="K155" s="265"/>
      <c r="L155" s="281"/>
      <c r="M155" s="265"/>
      <c r="N155" s="264"/>
      <c r="O155" s="265"/>
      <c r="P155" s="264"/>
      <c r="Q155" s="265"/>
      <c r="R155" s="264"/>
      <c r="S155" s="265"/>
      <c r="T155" s="264"/>
      <c r="U155" s="265"/>
      <c r="V155" s="264"/>
      <c r="W155" s="265"/>
      <c r="X155" s="264"/>
      <c r="Y155" s="265"/>
      <c r="Z155" s="265"/>
      <c r="AA155" s="264"/>
      <c r="AB155" s="265"/>
      <c r="AC155" s="264"/>
      <c r="AD155" s="264"/>
      <c r="AE155" s="265"/>
      <c r="AF155" s="264"/>
      <c r="AG155" s="265"/>
      <c r="AH155" s="264"/>
      <c r="AI155" s="265"/>
      <c r="AJ155" s="264"/>
      <c r="AK155" s="265"/>
      <c r="AL155" s="264"/>
      <c r="AM155" s="265"/>
      <c r="AN155" s="264"/>
      <c r="AO155" s="265"/>
      <c r="AP155" s="264"/>
      <c r="AQ155" s="265"/>
      <c r="AR155" s="264"/>
      <c r="AS155" s="265"/>
      <c r="AT155" s="265"/>
      <c r="AU155" s="264"/>
      <c r="AV155" s="265"/>
      <c r="AW155" s="264"/>
      <c r="AX155" s="265"/>
      <c r="AY155" s="264"/>
      <c r="AZ155" s="265"/>
      <c r="BA155" s="264"/>
      <c r="BB155" s="265"/>
      <c r="BC155" s="264"/>
      <c r="BD155" s="265"/>
      <c r="BE155" s="264"/>
      <c r="BF155" s="265"/>
      <c r="BG155" s="264"/>
      <c r="BH155" s="265"/>
      <c r="BI155" s="264"/>
      <c r="BJ155" s="265"/>
      <c r="BK155" s="269"/>
      <c r="BL155" s="269"/>
      <c r="BM155" s="270"/>
    </row>
    <row r="156" spans="1:65" s="282" customFormat="1" ht="18.75" thickBot="1" x14ac:dyDescent="0.3">
      <c r="A156" s="271" t="s">
        <v>925</v>
      </c>
      <c r="B156" s="279"/>
      <c r="C156" s="275"/>
      <c r="D156" s="274">
        <f>SUM(D145+D136+D128+D119+D110+D101+D92+D84+D75+D66+D57+D48+D154)</f>
        <v>0</v>
      </c>
      <c r="E156" s="275"/>
      <c r="F156" s="274">
        <f>SUM(F145+F136+F128+F119+F110+F101+F92+F84+F75+F66+F57+F48+F154)</f>
        <v>0</v>
      </c>
      <c r="G156" s="275"/>
      <c r="H156" s="274">
        <f>SUM(H145+H136+H128+H119+H110+H101+H92+H84+H75+H66+H57+H48+H154)</f>
        <v>0</v>
      </c>
      <c r="I156" s="275"/>
      <c r="J156" s="274">
        <f>SUM(J145+J136+J128+J119+J110+J101+J92+J84+J75+J66+J57+J48+J154)</f>
        <v>0</v>
      </c>
      <c r="K156" s="275"/>
      <c r="L156" s="274">
        <f>SUM(L145+L136+L128+L119+L110+L101+L92+L84+L75+L66+L57+L48+L154)</f>
        <v>0</v>
      </c>
      <c r="M156" s="275"/>
      <c r="N156" s="274">
        <f>SUM(N145+N136+N128+N119+N110+N101+N92+N84+N75+N66+N57+N48+N154)</f>
        <v>0</v>
      </c>
      <c r="O156" s="275"/>
      <c r="P156" s="274">
        <f>SUM(P145+P136+P128+P119+P110+P101+P92+P84+P75+P66+P57+P48+P154)</f>
        <v>0</v>
      </c>
      <c r="Q156" s="275"/>
      <c r="R156" s="274">
        <f>SUM(R145+R136+R128+R119+R110+R101+R92+R84+R75+R66+R57+R48+R154)</f>
        <v>0</v>
      </c>
      <c r="S156" s="275"/>
      <c r="T156" s="274">
        <f>SUM(T145+T136+T128+T119+T110+T101+T92+T84+T75+T66+T57+T48+T154)</f>
        <v>0</v>
      </c>
      <c r="U156" s="275"/>
      <c r="V156" s="274">
        <f>SUM(V145+V136+V128+V119+V110+V101+V92+V84+V75+V66+V57+V48+V154)</f>
        <v>0</v>
      </c>
      <c r="W156" s="275"/>
      <c r="X156" s="274">
        <f>SUM(X145+X136+X128+X119+X110+X101+X92+X84+X75+X66+X57+X48+X154)</f>
        <v>0</v>
      </c>
      <c r="Y156" s="275"/>
      <c r="Z156" s="275"/>
      <c r="AA156" s="274">
        <f>SUM(AA145+AA136+AA128+AA119+AA110+AA101+AA92+AA84+AA75+AA66+AA57+AA48+AA154)</f>
        <v>0</v>
      </c>
      <c r="AB156" s="275"/>
      <c r="AC156" s="274">
        <f>SUM(AC145+AC136+AC128+AC119+AC110+AC101+AC92+AC84+AC75+AC66+AC57+AC48+AC154)</f>
        <v>0</v>
      </c>
      <c r="AD156" s="274">
        <f>SUM(AD145+AD136+AD128+AD119+AD110+AD101+AD92+AD84+AD75+AD66+AD57+AD48+AD154)</f>
        <v>0</v>
      </c>
      <c r="AE156" s="275"/>
      <c r="AF156" s="274">
        <f>SUM(AF145+AF136+AF128+AF119+AF110+AF101+AF92+AF84+AF75+AF66+AF57+AF48+AF154)</f>
        <v>0</v>
      </c>
      <c r="AG156" s="275"/>
      <c r="AH156" s="274">
        <f>SUM(AH145+AH136+AH128+AH119+AH110+AH101+AH92+AH84+AH75+AH66+AH57+AH48+AH154)</f>
        <v>0</v>
      </c>
      <c r="AI156" s="275"/>
      <c r="AJ156" s="274">
        <f>SUM(AJ145+AJ136+AJ128+AJ119+AJ110+AJ101+AJ92+AJ84+AJ75+AJ66+AJ57+AJ48+AJ154)</f>
        <v>0</v>
      </c>
      <c r="AK156" s="275"/>
      <c r="AL156" s="274">
        <f>SUM(AL145+AL136+AL128+AL119+AL110+AL101+AL92+AL84+AL75+AL66+AL57+AL48+AL154)</f>
        <v>0</v>
      </c>
      <c r="AM156" s="275"/>
      <c r="AN156" s="274">
        <f>SUM(AN145+AN136+AN128+AN119+AN110+AN101+AN92+AN84+AN75+AN66+AN57+AN48+AN154)</f>
        <v>0</v>
      </c>
      <c r="AO156" s="275"/>
      <c r="AP156" s="274">
        <f>SUM(AP145+AP136+AP128+AP119+AP110+AP101+AP92+AP84+AP75+AP66+AP57+AP48+AP154)</f>
        <v>0</v>
      </c>
      <c r="AQ156" s="275"/>
      <c r="AR156" s="274">
        <f>SUM(AR145+AR136+AR128+AR119+AR110+AR101+AR92+AR84+AR75+AR66+AR57+AR48+AR154)</f>
        <v>0</v>
      </c>
      <c r="AS156" s="275"/>
      <c r="AT156" s="275"/>
      <c r="AU156" s="274">
        <f>SUM(AU145+AU136+AU128+AU119+AU110+AU101+AU92+AU84+AU75+AU66+AU57+AU48+AU154)</f>
        <v>0</v>
      </c>
      <c r="AV156" s="275"/>
      <c r="AW156" s="274">
        <f>SUM(AW145+AW136+AW128+AW119+AW110+AW101+AW92+AW84+AW75+AW66+AW57+AW48+AW154)</f>
        <v>0</v>
      </c>
      <c r="AX156" s="275"/>
      <c r="AY156" s="274">
        <f>SUM(AY145+AY136+AY128+AY119+AY110+AY101+AY92+AY84+AY75+AY66+AY57+AY48+AY154)</f>
        <v>0</v>
      </c>
      <c r="AZ156" s="275"/>
      <c r="BA156" s="274">
        <f>SUM(BA145+BA136+BA128+BA119+BA110+BA101+BA92+BA84+BA75+BA66+BA57+BA48+BA154)</f>
        <v>0</v>
      </c>
      <c r="BB156" s="275"/>
      <c r="BC156" s="274">
        <f>SUM(BC145+BC136+BC128+BC119+BC110+BC101+BC92+BC84+BC75+BC66+BC57+BC48+BC154)</f>
        <v>0</v>
      </c>
      <c r="BD156" s="275"/>
      <c r="BE156" s="274">
        <f>SUM(BE145+BE136+BE128+BE119+BE110+BE101+BE92+BE84+BE75+BE66+BE57+BE48+BE154)</f>
        <v>0</v>
      </c>
      <c r="BF156" s="275"/>
      <c r="BG156" s="274">
        <f>SUM(BG145+BG136+BG128+BG119+BG110+BG101+BG92+BG84+BG75+BG66+BG57+BG48+BG154)</f>
        <v>0</v>
      </c>
      <c r="BH156" s="275"/>
      <c r="BI156" s="274">
        <f>D156+F156+H156+J156+X156+N156+P156+R156+L156+T156+V156+AA156+AC156+AD156+AF156+AH156+AJ156+AL156+AN156+AP156+AR156+AU156+AW156+AY156+BA156+BC156+BE156+BG156</f>
        <v>0</v>
      </c>
      <c r="BJ156" s="275"/>
      <c r="BK156" s="276"/>
      <c r="BL156" s="276"/>
      <c r="BM156" s="270"/>
    </row>
    <row r="157" spans="1:65" s="282" customFormat="1" ht="18" x14ac:dyDescent="0.25">
      <c r="A157" s="246"/>
      <c r="B157" s="262"/>
      <c r="C157" s="268"/>
      <c r="D157" s="264"/>
      <c r="E157" s="265"/>
      <c r="F157" s="264"/>
      <c r="G157" s="265"/>
      <c r="H157" s="264"/>
      <c r="I157" s="265"/>
      <c r="J157" s="264"/>
      <c r="K157" s="265"/>
      <c r="L157" s="281"/>
      <c r="M157" s="265"/>
      <c r="N157" s="264"/>
      <c r="O157" s="265"/>
      <c r="P157" s="264"/>
      <c r="Q157" s="265"/>
      <c r="R157" s="264"/>
      <c r="S157" s="265"/>
      <c r="T157" s="264"/>
      <c r="U157" s="265"/>
      <c r="V157" s="264"/>
      <c r="W157" s="265"/>
      <c r="X157" s="264"/>
      <c r="Y157" s="265"/>
      <c r="Z157" s="265"/>
      <c r="AA157" s="264"/>
      <c r="AB157" s="265"/>
      <c r="AC157" s="264"/>
      <c r="AD157" s="264"/>
      <c r="AE157" s="265"/>
      <c r="AF157" s="264"/>
      <c r="AG157" s="265"/>
      <c r="AH157" s="264"/>
      <c r="AI157" s="265"/>
      <c r="AJ157" s="264"/>
      <c r="AK157" s="265"/>
      <c r="AL157" s="264"/>
      <c r="AM157" s="265"/>
      <c r="AN157" s="264"/>
      <c r="AO157" s="265"/>
      <c r="AP157" s="264"/>
      <c r="AQ157" s="265"/>
      <c r="AR157" s="264"/>
      <c r="AS157" s="265"/>
      <c r="AT157" s="265"/>
      <c r="AU157" s="264"/>
      <c r="AV157" s="265"/>
      <c r="AW157" s="264"/>
      <c r="AX157" s="265"/>
      <c r="AY157" s="264"/>
      <c r="AZ157" s="265"/>
      <c r="BA157" s="264"/>
      <c r="BB157" s="265"/>
      <c r="BC157" s="264"/>
      <c r="BD157" s="265"/>
      <c r="BE157" s="264"/>
      <c r="BF157" s="265"/>
      <c r="BG157" s="264"/>
      <c r="BH157" s="265"/>
      <c r="BI157" s="270"/>
      <c r="BJ157" s="268"/>
      <c r="BK157" s="269"/>
      <c r="BL157" s="269"/>
      <c r="BM157" s="270"/>
    </row>
    <row r="158" spans="1:65" s="282" customFormat="1" ht="18" x14ac:dyDescent="0.25">
      <c r="A158" s="246" t="s">
        <v>926</v>
      </c>
      <c r="B158" s="262"/>
      <c r="C158" s="268"/>
      <c r="D158" s="264"/>
      <c r="E158" s="265"/>
      <c r="F158" s="264"/>
      <c r="G158" s="265"/>
      <c r="H158" s="264"/>
      <c r="I158" s="265"/>
      <c r="J158" s="264"/>
      <c r="K158" s="265"/>
      <c r="L158" s="281"/>
      <c r="M158" s="265"/>
      <c r="N158" s="264"/>
      <c r="O158" s="265"/>
      <c r="P158" s="264"/>
      <c r="Q158" s="265"/>
      <c r="R158" s="264"/>
      <c r="S158" s="265"/>
      <c r="T158" s="264"/>
      <c r="U158" s="265"/>
      <c r="V158" s="264"/>
      <c r="W158" s="265"/>
      <c r="X158" s="264"/>
      <c r="Y158" s="265"/>
      <c r="Z158" s="265"/>
      <c r="AA158" s="264"/>
      <c r="AB158" s="265"/>
      <c r="AC158" s="264"/>
      <c r="AD158" s="264"/>
      <c r="AE158" s="265"/>
      <c r="AF158" s="264"/>
      <c r="AG158" s="265"/>
      <c r="AH158" s="264"/>
      <c r="AI158" s="265"/>
      <c r="AJ158" s="264"/>
      <c r="AK158" s="265"/>
      <c r="AL158" s="264"/>
      <c r="AM158" s="265"/>
      <c r="AN158" s="264"/>
      <c r="AO158" s="265"/>
      <c r="AP158" s="264"/>
      <c r="AQ158" s="265"/>
      <c r="AR158" s="264"/>
      <c r="AS158" s="265"/>
      <c r="AT158" s="265"/>
      <c r="AU158" s="264"/>
      <c r="AV158" s="265"/>
      <c r="AW158" s="264"/>
      <c r="AX158" s="265"/>
      <c r="AY158" s="264"/>
      <c r="AZ158" s="265"/>
      <c r="BA158" s="264"/>
      <c r="BB158" s="265"/>
      <c r="BC158" s="264"/>
      <c r="BD158" s="265"/>
      <c r="BE158" s="264"/>
      <c r="BF158" s="265"/>
      <c r="BG158" s="264"/>
      <c r="BH158" s="265"/>
      <c r="BI158" s="270"/>
      <c r="BJ158" s="268"/>
      <c r="BK158" s="269"/>
      <c r="BL158" s="269"/>
      <c r="BM158" s="270"/>
    </row>
    <row r="159" spans="1:65" s="282" customFormat="1" ht="18" x14ac:dyDescent="0.25">
      <c r="A159" s="246" t="s">
        <v>23</v>
      </c>
      <c r="B159" s="283" t="s">
        <v>1577</v>
      </c>
      <c r="C159" s="268"/>
      <c r="D159" s="281">
        <f>SUM(GenFundExp2!I495+GenFundExp2!I496)</f>
        <v>0</v>
      </c>
      <c r="E159" s="265"/>
      <c r="F159" s="281">
        <f>SUM(CharterFundExp2!I495+CharterFundExp2!I496)</f>
        <v>0</v>
      </c>
      <c r="G159" s="265"/>
      <c r="H159" s="264"/>
      <c r="I159" s="265"/>
      <c r="J159" s="264"/>
      <c r="K159" s="265"/>
      <c r="L159" s="281"/>
      <c r="M159" s="265"/>
      <c r="N159" s="264"/>
      <c r="O159" s="265"/>
      <c r="P159" s="264"/>
      <c r="Q159" s="265"/>
      <c r="R159" s="264"/>
      <c r="S159" s="265"/>
      <c r="T159" s="264"/>
      <c r="U159" s="265"/>
      <c r="V159" s="264"/>
      <c r="W159" s="265"/>
      <c r="X159" s="264"/>
      <c r="Y159" s="265"/>
      <c r="Z159" s="265"/>
      <c r="AA159" s="264"/>
      <c r="AB159" s="265"/>
      <c r="AC159" s="264"/>
      <c r="AD159" s="264"/>
      <c r="AE159" s="265"/>
      <c r="AF159" s="264">
        <f>BuildFund!I27</f>
        <v>0</v>
      </c>
      <c r="AG159" s="265"/>
      <c r="AH159" s="264"/>
      <c r="AI159" s="265"/>
      <c r="AJ159" s="264"/>
      <c r="AK159" s="265"/>
      <c r="AL159" s="264"/>
      <c r="AM159" s="265"/>
      <c r="AN159" s="264"/>
      <c r="AO159" s="265"/>
      <c r="AP159" s="264"/>
      <c r="AQ159" s="265"/>
      <c r="AR159" s="264"/>
      <c r="AS159" s="265"/>
      <c r="AT159" s="265"/>
      <c r="AU159" s="264"/>
      <c r="AV159" s="265"/>
      <c r="AW159" s="264"/>
      <c r="AX159" s="265"/>
      <c r="AY159" s="264"/>
      <c r="AZ159" s="265"/>
      <c r="BA159" s="264"/>
      <c r="BB159" s="265"/>
      <c r="BC159" s="264"/>
      <c r="BD159" s="265"/>
      <c r="BE159" s="264"/>
      <c r="BF159" s="265"/>
      <c r="BG159" s="264"/>
      <c r="BH159" s="265"/>
      <c r="BI159" s="264">
        <f t="shared" ref="BI159:BI165" si="16">D159+F159+H159+J159+X159+N159+P159+R159+L159+T159+V159+AA159+AC159+AD159+AF159+AH159+AJ159+AL159+AN159+AP159+AR159+AU159+AW159+AY159+BA159+BC159+BE159+BG159</f>
        <v>0</v>
      </c>
      <c r="BJ159" s="268"/>
      <c r="BK159" s="269"/>
      <c r="BL159" s="269"/>
      <c r="BM159" s="270"/>
    </row>
    <row r="160" spans="1:65" s="282" customFormat="1" ht="18" x14ac:dyDescent="0.25">
      <c r="A160" s="246" t="s">
        <v>24</v>
      </c>
      <c r="B160" s="283" t="s">
        <v>1578</v>
      </c>
      <c r="C160" s="268"/>
      <c r="D160" s="281">
        <f>SUM(GenFundExp2!I497+GenFundExp2!I498)</f>
        <v>0</v>
      </c>
      <c r="E160" s="265"/>
      <c r="F160" s="281">
        <f>SUM(CharterFundExp2!I497+CharterFundExp2!I498)</f>
        <v>0</v>
      </c>
      <c r="G160" s="265"/>
      <c r="H160" s="264"/>
      <c r="I160" s="265"/>
      <c r="J160" s="264"/>
      <c r="K160" s="265"/>
      <c r="L160" s="281"/>
      <c r="M160" s="265"/>
      <c r="N160" s="264"/>
      <c r="O160" s="265"/>
      <c r="P160" s="264"/>
      <c r="Q160" s="265"/>
      <c r="R160" s="264"/>
      <c r="S160" s="265"/>
      <c r="T160" s="264"/>
      <c r="U160" s="265"/>
      <c r="V160" s="264"/>
      <c r="W160" s="265"/>
      <c r="X160" s="264"/>
      <c r="Y160" s="265"/>
      <c r="Z160" s="265"/>
      <c r="AA160" s="264"/>
      <c r="AB160" s="265"/>
      <c r="AC160" s="264"/>
      <c r="AD160" s="264"/>
      <c r="AE160" s="265"/>
      <c r="AF160" s="264"/>
      <c r="AG160" s="265"/>
      <c r="AH160" s="264"/>
      <c r="AI160" s="265"/>
      <c r="AJ160" s="264"/>
      <c r="AK160" s="265"/>
      <c r="AL160" s="264"/>
      <c r="AM160" s="265"/>
      <c r="AN160" s="264"/>
      <c r="AO160" s="265"/>
      <c r="AP160" s="264"/>
      <c r="AQ160" s="265"/>
      <c r="AR160" s="264"/>
      <c r="AS160" s="265"/>
      <c r="AT160" s="265"/>
      <c r="AU160" s="264"/>
      <c r="AV160" s="265"/>
      <c r="AW160" s="264"/>
      <c r="AX160" s="265"/>
      <c r="AY160" s="264"/>
      <c r="AZ160" s="265"/>
      <c r="BA160" s="264"/>
      <c r="BB160" s="265"/>
      <c r="BC160" s="264"/>
      <c r="BD160" s="265"/>
      <c r="BE160" s="264"/>
      <c r="BF160" s="265"/>
      <c r="BG160" s="264"/>
      <c r="BH160" s="265"/>
      <c r="BI160" s="264">
        <f t="shared" si="16"/>
        <v>0</v>
      </c>
      <c r="BJ160" s="268"/>
      <c r="BK160" s="269"/>
      <c r="BL160" s="269"/>
      <c r="BM160" s="270"/>
    </row>
    <row r="161" spans="1:65" s="282" customFormat="1" ht="36" x14ac:dyDescent="0.25">
      <c r="A161" s="246" t="s">
        <v>25</v>
      </c>
      <c r="B161" s="283" t="s">
        <v>773</v>
      </c>
      <c r="C161" s="268"/>
      <c r="D161" s="264">
        <f>SUM(GenFundExp2!I499:I508)</f>
        <v>0</v>
      </c>
      <c r="E161" s="265"/>
      <c r="F161" s="264">
        <f>SUM(CharterFundExp2!I499:I508)</f>
        <v>0</v>
      </c>
      <c r="G161" s="265"/>
      <c r="H161" s="264"/>
      <c r="I161" s="265"/>
      <c r="J161" s="264"/>
      <c r="K161" s="265"/>
      <c r="L161" s="281"/>
      <c r="M161" s="265"/>
      <c r="N161" s="264"/>
      <c r="O161" s="265"/>
      <c r="P161" s="264"/>
      <c r="Q161" s="265"/>
      <c r="R161" s="264"/>
      <c r="S161" s="265"/>
      <c r="T161" s="264"/>
      <c r="U161" s="265"/>
      <c r="V161" s="264"/>
      <c r="W161" s="265"/>
      <c r="X161" s="264"/>
      <c r="Y161" s="265"/>
      <c r="Z161" s="265"/>
      <c r="AA161" s="264"/>
      <c r="AB161" s="265"/>
      <c r="AC161" s="264"/>
      <c r="AD161" s="264"/>
      <c r="AE161" s="265"/>
      <c r="AF161" s="264">
        <f>SUM(BuildFund!I28)</f>
        <v>0</v>
      </c>
      <c r="AG161" s="265"/>
      <c r="AH161" s="264"/>
      <c r="AI161" s="265"/>
      <c r="AJ161" s="264"/>
      <c r="AK161" s="265"/>
      <c r="AL161" s="264"/>
      <c r="AM161" s="265"/>
      <c r="AN161" s="264"/>
      <c r="AO161" s="265"/>
      <c r="AP161" s="264"/>
      <c r="AQ161" s="265"/>
      <c r="AR161" s="264"/>
      <c r="AS161" s="265"/>
      <c r="AT161" s="265"/>
      <c r="AU161" s="264"/>
      <c r="AV161" s="265"/>
      <c r="AW161" s="264"/>
      <c r="AX161" s="265"/>
      <c r="AY161" s="264"/>
      <c r="AZ161" s="265"/>
      <c r="BA161" s="264"/>
      <c r="BB161" s="265"/>
      <c r="BC161" s="264"/>
      <c r="BD161" s="265"/>
      <c r="BE161" s="264"/>
      <c r="BF161" s="265"/>
      <c r="BG161" s="264"/>
      <c r="BH161" s="265"/>
      <c r="BI161" s="264">
        <f t="shared" si="16"/>
        <v>0</v>
      </c>
      <c r="BJ161" s="268"/>
      <c r="BK161" s="269"/>
      <c r="BL161" s="269"/>
      <c r="BM161" s="270"/>
    </row>
    <row r="162" spans="1:65" s="282" customFormat="1" ht="18" x14ac:dyDescent="0.25">
      <c r="A162" s="246" t="s">
        <v>898</v>
      </c>
      <c r="B162" s="283" t="s">
        <v>1582</v>
      </c>
      <c r="C162" s="268"/>
      <c r="D162" s="264">
        <f>SUM(GenFundExp2!I509:I510)</f>
        <v>0</v>
      </c>
      <c r="E162" s="265"/>
      <c r="F162" s="264">
        <f>SUM(CharterFundExp2!I509:I510)</f>
        <v>0</v>
      </c>
      <c r="G162" s="265"/>
      <c r="H162" s="264"/>
      <c r="I162" s="265"/>
      <c r="J162" s="264"/>
      <c r="K162" s="265"/>
      <c r="L162" s="281"/>
      <c r="M162" s="265"/>
      <c r="N162" s="264"/>
      <c r="O162" s="265"/>
      <c r="P162" s="264"/>
      <c r="Q162" s="265"/>
      <c r="R162" s="264"/>
      <c r="S162" s="265"/>
      <c r="T162" s="264"/>
      <c r="U162" s="265"/>
      <c r="V162" s="264"/>
      <c r="W162" s="265"/>
      <c r="X162" s="264"/>
      <c r="Y162" s="265"/>
      <c r="Z162" s="265"/>
      <c r="AA162" s="264"/>
      <c r="AB162" s="265"/>
      <c r="AC162" s="264"/>
      <c r="AD162" s="264"/>
      <c r="AE162" s="265"/>
      <c r="AF162" s="264">
        <f>BuildFund!I29</f>
        <v>0</v>
      </c>
      <c r="AG162" s="265"/>
      <c r="AH162" s="264"/>
      <c r="AI162" s="265"/>
      <c r="AJ162" s="264"/>
      <c r="AK162" s="265"/>
      <c r="AL162" s="264"/>
      <c r="AM162" s="265"/>
      <c r="AN162" s="264"/>
      <c r="AO162" s="265"/>
      <c r="AP162" s="264"/>
      <c r="AQ162" s="265"/>
      <c r="AR162" s="264"/>
      <c r="AS162" s="265"/>
      <c r="AT162" s="265"/>
      <c r="AU162" s="264"/>
      <c r="AV162" s="265"/>
      <c r="AW162" s="264"/>
      <c r="AX162" s="265"/>
      <c r="AY162" s="264"/>
      <c r="AZ162" s="265"/>
      <c r="BA162" s="264"/>
      <c r="BB162" s="265"/>
      <c r="BC162" s="264"/>
      <c r="BD162" s="265"/>
      <c r="BE162" s="264"/>
      <c r="BF162" s="265"/>
      <c r="BG162" s="264"/>
      <c r="BH162" s="265"/>
      <c r="BI162" s="264">
        <f t="shared" si="16"/>
        <v>0</v>
      </c>
      <c r="BJ162" s="268"/>
      <c r="BK162" s="269"/>
      <c r="BL162" s="269"/>
      <c r="BM162" s="270"/>
    </row>
    <row r="163" spans="1:65" s="282" customFormat="1" ht="18" x14ac:dyDescent="0.25">
      <c r="A163" s="246" t="s">
        <v>899</v>
      </c>
      <c r="B163" s="283" t="s">
        <v>1583</v>
      </c>
      <c r="C163" s="268"/>
      <c r="D163" s="264">
        <f>SUM(GenFundExp2!I511:I520)</f>
        <v>0</v>
      </c>
      <c r="E163" s="265"/>
      <c r="F163" s="264">
        <f>SUM(CharterFundExp2!I511:I520)</f>
        <v>0</v>
      </c>
      <c r="G163" s="265"/>
      <c r="H163" s="264"/>
      <c r="I163" s="265"/>
      <c r="J163" s="264"/>
      <c r="K163" s="265"/>
      <c r="L163" s="281"/>
      <c r="M163" s="265"/>
      <c r="N163" s="264"/>
      <c r="O163" s="265"/>
      <c r="P163" s="264"/>
      <c r="Q163" s="265"/>
      <c r="R163" s="264"/>
      <c r="S163" s="265"/>
      <c r="T163" s="264"/>
      <c r="U163" s="265"/>
      <c r="V163" s="264"/>
      <c r="W163" s="265"/>
      <c r="X163" s="264"/>
      <c r="Y163" s="265"/>
      <c r="Z163" s="265"/>
      <c r="AA163" s="264"/>
      <c r="AB163" s="265"/>
      <c r="AC163" s="264"/>
      <c r="AD163" s="264"/>
      <c r="AE163" s="265"/>
      <c r="AF163" s="264">
        <f>SUM(BuildFund!I30:I38)</f>
        <v>0</v>
      </c>
      <c r="AG163" s="265"/>
      <c r="AH163" s="264"/>
      <c r="AI163" s="265"/>
      <c r="AJ163" s="264"/>
      <c r="AK163" s="265"/>
      <c r="AL163" s="264"/>
      <c r="AM163" s="265"/>
      <c r="AN163" s="264"/>
      <c r="AO163" s="265"/>
      <c r="AP163" s="264"/>
      <c r="AQ163" s="265"/>
      <c r="AR163" s="264"/>
      <c r="AS163" s="265"/>
      <c r="AT163" s="265"/>
      <c r="AU163" s="264"/>
      <c r="AV163" s="265"/>
      <c r="AW163" s="264"/>
      <c r="AX163" s="265"/>
      <c r="AY163" s="264"/>
      <c r="AZ163" s="265"/>
      <c r="BA163" s="264"/>
      <c r="BB163" s="265"/>
      <c r="BC163" s="264"/>
      <c r="BD163" s="265"/>
      <c r="BE163" s="264"/>
      <c r="BF163" s="265"/>
      <c r="BG163" s="264"/>
      <c r="BH163" s="265"/>
      <c r="BI163" s="264">
        <f t="shared" si="16"/>
        <v>0</v>
      </c>
      <c r="BJ163" s="268"/>
      <c r="BK163" s="269"/>
      <c r="BL163" s="269"/>
      <c r="BM163" s="270"/>
    </row>
    <row r="164" spans="1:65" s="282" customFormat="1" ht="18.75" thickBot="1" x14ac:dyDescent="0.3">
      <c r="A164" s="246" t="s">
        <v>900</v>
      </c>
      <c r="B164" s="283" t="s">
        <v>901</v>
      </c>
      <c r="C164" s="265"/>
      <c r="D164" s="264">
        <f>SUM(GenFundExp2!I521:I524)</f>
        <v>0</v>
      </c>
      <c r="E164" s="265"/>
      <c r="F164" s="264">
        <f>SUM(CharterFundExp2!I521:I524)</f>
        <v>0</v>
      </c>
      <c r="G164" s="265"/>
      <c r="H164" s="264"/>
      <c r="I164" s="265"/>
      <c r="J164" s="264"/>
      <c r="K164" s="265"/>
      <c r="L164" s="281"/>
      <c r="M164" s="265"/>
      <c r="N164" s="264"/>
      <c r="O164" s="265"/>
      <c r="P164" s="264"/>
      <c r="Q164" s="265"/>
      <c r="R164" s="264"/>
      <c r="S164" s="265"/>
      <c r="T164" s="264"/>
      <c r="U164" s="265"/>
      <c r="V164" s="264"/>
      <c r="W164" s="265"/>
      <c r="X164" s="264"/>
      <c r="Y164" s="265"/>
      <c r="Z164" s="265"/>
      <c r="AA164" s="264"/>
      <c r="AB164" s="265"/>
      <c r="AC164" s="264"/>
      <c r="AD164" s="264"/>
      <c r="AE164" s="265"/>
      <c r="AF164" s="264">
        <f>SUM(BuildFund!I39+BuildFund!I40+BuildFund!I41)</f>
        <v>0</v>
      </c>
      <c r="AG164" s="265"/>
      <c r="AH164" s="264"/>
      <c r="AI164" s="265"/>
      <c r="AJ164" s="264"/>
      <c r="AK164" s="265"/>
      <c r="AL164" s="264"/>
      <c r="AM164" s="265"/>
      <c r="AN164" s="264"/>
      <c r="AO164" s="265"/>
      <c r="AP164" s="264"/>
      <c r="AQ164" s="265"/>
      <c r="AR164" s="264"/>
      <c r="AS164" s="265"/>
      <c r="AT164" s="265"/>
      <c r="AU164" s="264"/>
      <c r="AV164" s="265"/>
      <c r="AW164" s="264"/>
      <c r="AX164" s="265"/>
      <c r="AY164" s="264"/>
      <c r="AZ164" s="265"/>
      <c r="BA164" s="264"/>
      <c r="BB164" s="265"/>
      <c r="BC164" s="264"/>
      <c r="BD164" s="265"/>
      <c r="BE164" s="264"/>
      <c r="BF164" s="265"/>
      <c r="BG164" s="264"/>
      <c r="BH164" s="265"/>
      <c r="BI164" s="264">
        <f t="shared" si="16"/>
        <v>0</v>
      </c>
      <c r="BJ164" s="265"/>
      <c r="BK164" s="269"/>
      <c r="BL164" s="269"/>
      <c r="BM164" s="270"/>
    </row>
    <row r="165" spans="1:65" s="282" customFormat="1" ht="18.75" thickBot="1" x14ac:dyDescent="0.3">
      <c r="A165" s="271" t="s">
        <v>927</v>
      </c>
      <c r="B165" s="279"/>
      <c r="C165" s="275"/>
      <c r="D165" s="274">
        <f>SUM(D159:D164)</f>
        <v>0</v>
      </c>
      <c r="E165" s="275"/>
      <c r="F165" s="274">
        <f>SUM(F159:F164)</f>
        <v>0</v>
      </c>
      <c r="G165" s="275"/>
      <c r="H165" s="274">
        <f>SUM(H159:H164)</f>
        <v>0</v>
      </c>
      <c r="I165" s="275"/>
      <c r="J165" s="274">
        <f>SUM(J159:J164)</f>
        <v>0</v>
      </c>
      <c r="K165" s="275"/>
      <c r="L165" s="274">
        <f>SUM(L159:L164)</f>
        <v>0</v>
      </c>
      <c r="M165" s="275"/>
      <c r="N165" s="274">
        <f>SUM(N159:N164)</f>
        <v>0</v>
      </c>
      <c r="O165" s="275"/>
      <c r="P165" s="274">
        <f>SUM(P159:P164)</f>
        <v>0</v>
      </c>
      <c r="Q165" s="275"/>
      <c r="R165" s="274">
        <f>SUM(R159:R164)</f>
        <v>0</v>
      </c>
      <c r="S165" s="275"/>
      <c r="T165" s="274">
        <f>SUM(T159:T164)</f>
        <v>0</v>
      </c>
      <c r="U165" s="275"/>
      <c r="V165" s="274">
        <f>SUM(V159:V164)</f>
        <v>0</v>
      </c>
      <c r="W165" s="275"/>
      <c r="X165" s="274">
        <f>SUM(X159:X164)</f>
        <v>0</v>
      </c>
      <c r="Y165" s="275"/>
      <c r="Z165" s="275"/>
      <c r="AA165" s="274">
        <f>SUM(AA159:AA164)</f>
        <v>0</v>
      </c>
      <c r="AB165" s="275"/>
      <c r="AC165" s="274">
        <f>SUM(AC159:AC164)</f>
        <v>0</v>
      </c>
      <c r="AD165" s="274">
        <f>SUM(AD159:AD164)</f>
        <v>0</v>
      </c>
      <c r="AE165" s="275"/>
      <c r="AF165" s="274">
        <f>SUM(AF159:AF164)</f>
        <v>0</v>
      </c>
      <c r="AG165" s="275"/>
      <c r="AH165" s="274">
        <f>SUM(AH159:AH164)</f>
        <v>0</v>
      </c>
      <c r="AI165" s="275"/>
      <c r="AJ165" s="274">
        <f>SUM(AJ159:AJ164)</f>
        <v>0</v>
      </c>
      <c r="AK165" s="275"/>
      <c r="AL165" s="274">
        <f>SUM(AL159:AL164)</f>
        <v>0</v>
      </c>
      <c r="AM165" s="275"/>
      <c r="AN165" s="274">
        <f>SUM(AN159:AN164)</f>
        <v>0</v>
      </c>
      <c r="AO165" s="275"/>
      <c r="AP165" s="274">
        <f>SUM(AP159:AP164)</f>
        <v>0</v>
      </c>
      <c r="AQ165" s="275"/>
      <c r="AR165" s="274">
        <f>SUM(AR159:AR164)</f>
        <v>0</v>
      </c>
      <c r="AS165" s="275"/>
      <c r="AT165" s="275"/>
      <c r="AU165" s="274">
        <f>SUM(AU159:AU164)</f>
        <v>0</v>
      </c>
      <c r="AV165" s="275"/>
      <c r="AW165" s="274">
        <f>SUM(AW159:AW164)</f>
        <v>0</v>
      </c>
      <c r="AX165" s="275"/>
      <c r="AY165" s="274">
        <f>SUM(AY159:AY164)</f>
        <v>0</v>
      </c>
      <c r="AZ165" s="275"/>
      <c r="BA165" s="274">
        <f>SUM(BA159:BA164)</f>
        <v>0</v>
      </c>
      <c r="BB165" s="275"/>
      <c r="BC165" s="274">
        <f>SUM(BC159:BC164)</f>
        <v>0</v>
      </c>
      <c r="BD165" s="275"/>
      <c r="BE165" s="274">
        <f>SUM(BE159:BE164)</f>
        <v>0</v>
      </c>
      <c r="BF165" s="275"/>
      <c r="BG165" s="274">
        <f>SUM(BG159:BG164)</f>
        <v>0</v>
      </c>
      <c r="BH165" s="275"/>
      <c r="BI165" s="274">
        <f t="shared" si="16"/>
        <v>0</v>
      </c>
      <c r="BJ165" s="275"/>
      <c r="BK165" s="276"/>
      <c r="BL165" s="276"/>
      <c r="BM165" s="270"/>
    </row>
    <row r="166" spans="1:65" s="282" customFormat="1" ht="18" x14ac:dyDescent="0.25">
      <c r="A166" s="246"/>
      <c r="B166" s="262"/>
      <c r="C166" s="268"/>
      <c r="D166" s="264"/>
      <c r="E166" s="265"/>
      <c r="F166" s="264"/>
      <c r="G166" s="265"/>
      <c r="H166" s="264"/>
      <c r="I166" s="265"/>
      <c r="J166" s="264"/>
      <c r="K166" s="265"/>
      <c r="L166" s="281"/>
      <c r="M166" s="265"/>
      <c r="N166" s="264"/>
      <c r="O166" s="265"/>
      <c r="P166" s="264"/>
      <c r="Q166" s="265"/>
      <c r="R166" s="264"/>
      <c r="S166" s="265"/>
      <c r="T166" s="264"/>
      <c r="U166" s="265"/>
      <c r="V166" s="264"/>
      <c r="W166" s="265"/>
      <c r="X166" s="264"/>
      <c r="Y166" s="265"/>
      <c r="Z166" s="265"/>
      <c r="AA166" s="264"/>
      <c r="AB166" s="265"/>
      <c r="AC166" s="264"/>
      <c r="AD166" s="264"/>
      <c r="AE166" s="265"/>
      <c r="AF166" s="264"/>
      <c r="AG166" s="265"/>
      <c r="AH166" s="264"/>
      <c r="AI166" s="265"/>
      <c r="AJ166" s="264"/>
      <c r="AK166" s="265"/>
      <c r="AL166" s="264"/>
      <c r="AM166" s="265"/>
      <c r="AN166" s="264"/>
      <c r="AO166" s="265"/>
      <c r="AP166" s="264"/>
      <c r="AQ166" s="265"/>
      <c r="AR166" s="264"/>
      <c r="AS166" s="265"/>
      <c r="AT166" s="265"/>
      <c r="AU166" s="264"/>
      <c r="AV166" s="265"/>
      <c r="AW166" s="264"/>
      <c r="AX166" s="265"/>
      <c r="AY166" s="264"/>
      <c r="AZ166" s="265"/>
      <c r="BA166" s="264"/>
      <c r="BB166" s="265"/>
      <c r="BC166" s="264"/>
      <c r="BD166" s="265"/>
      <c r="BE166" s="264"/>
      <c r="BF166" s="265"/>
      <c r="BG166" s="264"/>
      <c r="BH166" s="265"/>
      <c r="BI166" s="270"/>
      <c r="BJ166" s="268"/>
      <c r="BK166" s="269"/>
      <c r="BL166" s="269"/>
      <c r="BM166" s="270"/>
    </row>
    <row r="167" spans="1:65" s="282" customFormat="1" ht="54" x14ac:dyDescent="0.25">
      <c r="A167" s="246" t="s">
        <v>863</v>
      </c>
      <c r="B167" s="262"/>
      <c r="C167" s="268"/>
      <c r="D167" s="264"/>
      <c r="E167" s="265"/>
      <c r="F167" s="264"/>
      <c r="G167" s="265"/>
      <c r="H167" s="264"/>
      <c r="I167" s="265"/>
      <c r="J167" s="264"/>
      <c r="K167" s="265"/>
      <c r="L167" s="281"/>
      <c r="M167" s="265"/>
      <c r="N167" s="264"/>
      <c r="O167" s="265"/>
      <c r="P167" s="264"/>
      <c r="Q167" s="265"/>
      <c r="R167" s="264"/>
      <c r="S167" s="265"/>
      <c r="T167" s="264"/>
      <c r="U167" s="265"/>
      <c r="V167" s="264"/>
      <c r="W167" s="265"/>
      <c r="X167" s="264"/>
      <c r="Y167" s="265"/>
      <c r="Z167" s="265"/>
      <c r="AA167" s="264"/>
      <c r="AB167" s="265"/>
      <c r="AC167" s="264"/>
      <c r="AD167" s="264"/>
      <c r="AE167" s="265"/>
      <c r="AF167" s="264"/>
      <c r="AG167" s="265"/>
      <c r="AH167" s="264"/>
      <c r="AI167" s="265"/>
      <c r="AJ167" s="264"/>
      <c r="AK167" s="265"/>
      <c r="AL167" s="264"/>
      <c r="AM167" s="265"/>
      <c r="AN167" s="264"/>
      <c r="AO167" s="265"/>
      <c r="AP167" s="264"/>
      <c r="AQ167" s="265"/>
      <c r="AR167" s="264"/>
      <c r="AS167" s="265"/>
      <c r="AT167" s="265"/>
      <c r="AU167" s="264"/>
      <c r="AV167" s="265"/>
      <c r="AW167" s="264"/>
      <c r="AX167" s="265"/>
      <c r="AY167" s="264"/>
      <c r="AZ167" s="265"/>
      <c r="BA167" s="264"/>
      <c r="BB167" s="265"/>
      <c r="BC167" s="264"/>
      <c r="BD167" s="265"/>
      <c r="BE167" s="264"/>
      <c r="BF167" s="265"/>
      <c r="BG167" s="264"/>
      <c r="BH167" s="265"/>
      <c r="BI167" s="270"/>
      <c r="BJ167" s="268"/>
      <c r="BK167" s="269"/>
      <c r="BL167" s="269"/>
      <c r="BM167" s="270"/>
    </row>
    <row r="168" spans="1:65" s="282" customFormat="1" ht="18" x14ac:dyDescent="0.25">
      <c r="A168" s="246" t="s">
        <v>23</v>
      </c>
      <c r="B168" s="283" t="s">
        <v>1577</v>
      </c>
      <c r="C168" s="268"/>
      <c r="D168" s="264"/>
      <c r="E168" s="265"/>
      <c r="F168" s="264"/>
      <c r="G168" s="265"/>
      <c r="H168" s="264"/>
      <c r="I168" s="265"/>
      <c r="J168" s="264"/>
      <c r="K168" s="265"/>
      <c r="L168" s="281"/>
      <c r="M168" s="265"/>
      <c r="N168" s="264"/>
      <c r="O168" s="265"/>
      <c r="P168" s="264"/>
      <c r="Q168" s="265"/>
      <c r="R168" s="264"/>
      <c r="S168" s="265"/>
      <c r="T168" s="264"/>
      <c r="U168" s="265"/>
      <c r="V168" s="264"/>
      <c r="W168" s="265"/>
      <c r="X168" s="264"/>
      <c r="Y168" s="265"/>
      <c r="Z168" s="265"/>
      <c r="AA168" s="264"/>
      <c r="AB168" s="265"/>
      <c r="AC168" s="264"/>
      <c r="AD168" s="264"/>
      <c r="AE168" s="265"/>
      <c r="AF168" s="264"/>
      <c r="AG168" s="265"/>
      <c r="AH168" s="264"/>
      <c r="AI168" s="265"/>
      <c r="AJ168" s="264"/>
      <c r="AK168" s="265"/>
      <c r="AL168" s="264"/>
      <c r="AM168" s="265"/>
      <c r="AN168" s="264"/>
      <c r="AO168" s="265"/>
      <c r="AP168" s="264"/>
      <c r="AQ168" s="265"/>
      <c r="AR168" s="264"/>
      <c r="AS168" s="265"/>
      <c r="AT168" s="265"/>
      <c r="AU168" s="264"/>
      <c r="AV168" s="265"/>
      <c r="AW168" s="264"/>
      <c r="AX168" s="265"/>
      <c r="AY168" s="264"/>
      <c r="AZ168" s="265"/>
      <c r="BA168" s="264"/>
      <c r="BB168" s="265"/>
      <c r="BC168" s="264"/>
      <c r="BD168" s="265"/>
      <c r="BE168" s="264"/>
      <c r="BF168" s="265"/>
      <c r="BG168" s="264"/>
      <c r="BH168" s="265"/>
      <c r="BI168" s="264">
        <f t="shared" ref="BI168:BI174" si="17">D168+F168+H168+J168+X168+N168+P168+R168+L168+T168+V168+AA168+AC168+AD168+AF168+AH168+AJ168+AL168+AN168+AP168+AR168+AU168+AW168+AY168+BA168+BC168+BE168+BG168</f>
        <v>0</v>
      </c>
      <c r="BJ168" s="268"/>
      <c r="BK168" s="269"/>
      <c r="BL168" s="269"/>
      <c r="BM168" s="270"/>
    </row>
    <row r="169" spans="1:65" s="282" customFormat="1" ht="18" x14ac:dyDescent="0.25">
      <c r="A169" s="246" t="s">
        <v>24</v>
      </c>
      <c r="B169" s="283" t="s">
        <v>1578</v>
      </c>
      <c r="C169" s="268"/>
      <c r="D169" s="264"/>
      <c r="E169" s="265"/>
      <c r="F169" s="264"/>
      <c r="G169" s="265"/>
      <c r="H169" s="264"/>
      <c r="I169" s="265"/>
      <c r="J169" s="264"/>
      <c r="K169" s="265"/>
      <c r="L169" s="281"/>
      <c r="M169" s="265"/>
      <c r="N169" s="264"/>
      <c r="O169" s="265"/>
      <c r="P169" s="264"/>
      <c r="Q169" s="265"/>
      <c r="R169" s="264"/>
      <c r="S169" s="265"/>
      <c r="T169" s="264"/>
      <c r="U169" s="265"/>
      <c r="V169" s="264"/>
      <c r="W169" s="265"/>
      <c r="X169" s="264"/>
      <c r="Y169" s="265"/>
      <c r="Z169" s="265"/>
      <c r="AA169" s="264"/>
      <c r="AB169" s="265"/>
      <c r="AC169" s="264"/>
      <c r="AD169" s="264"/>
      <c r="AE169" s="265"/>
      <c r="AF169" s="264"/>
      <c r="AG169" s="265"/>
      <c r="AH169" s="264"/>
      <c r="AI169" s="265"/>
      <c r="AJ169" s="264"/>
      <c r="AK169" s="265"/>
      <c r="AL169" s="264"/>
      <c r="AM169" s="265"/>
      <c r="AN169" s="264"/>
      <c r="AO169" s="265"/>
      <c r="AP169" s="264"/>
      <c r="AQ169" s="265"/>
      <c r="AR169" s="264"/>
      <c r="AS169" s="265"/>
      <c r="AT169" s="265"/>
      <c r="AU169" s="264"/>
      <c r="AV169" s="265"/>
      <c r="AW169" s="264"/>
      <c r="AX169" s="265"/>
      <c r="AY169" s="264"/>
      <c r="AZ169" s="265"/>
      <c r="BA169" s="264"/>
      <c r="BB169" s="265"/>
      <c r="BC169" s="264"/>
      <c r="BD169" s="265"/>
      <c r="BE169" s="264"/>
      <c r="BF169" s="265"/>
      <c r="BG169" s="264"/>
      <c r="BH169" s="265"/>
      <c r="BI169" s="264">
        <f t="shared" si="17"/>
        <v>0</v>
      </c>
      <c r="BJ169" s="268"/>
      <c r="BK169" s="269"/>
      <c r="BL169" s="269"/>
      <c r="BM169" s="270"/>
    </row>
    <row r="170" spans="1:65" s="282" customFormat="1" ht="36" x14ac:dyDescent="0.25">
      <c r="A170" s="246" t="s">
        <v>25</v>
      </c>
      <c r="B170" s="283" t="s">
        <v>773</v>
      </c>
      <c r="C170" s="268"/>
      <c r="D170" s="264"/>
      <c r="E170" s="265"/>
      <c r="F170" s="264"/>
      <c r="G170" s="265"/>
      <c r="H170" s="264"/>
      <c r="I170" s="265"/>
      <c r="J170" s="264"/>
      <c r="K170" s="265"/>
      <c r="L170" s="281"/>
      <c r="M170" s="265"/>
      <c r="N170" s="264"/>
      <c r="O170" s="265"/>
      <c r="P170" s="264"/>
      <c r="Q170" s="265"/>
      <c r="R170" s="264"/>
      <c r="S170" s="265"/>
      <c r="T170" s="264"/>
      <c r="U170" s="265"/>
      <c r="V170" s="264"/>
      <c r="W170" s="265"/>
      <c r="X170" s="264"/>
      <c r="Y170" s="265"/>
      <c r="Z170" s="265"/>
      <c r="AA170" s="264"/>
      <c r="AB170" s="265"/>
      <c r="AC170" s="264"/>
      <c r="AD170" s="264"/>
      <c r="AE170" s="265"/>
      <c r="AF170" s="264"/>
      <c r="AG170" s="265"/>
      <c r="AH170" s="264"/>
      <c r="AI170" s="265"/>
      <c r="AJ170" s="264"/>
      <c r="AK170" s="265"/>
      <c r="AL170" s="264"/>
      <c r="AM170" s="265"/>
      <c r="AN170" s="264"/>
      <c r="AO170" s="265"/>
      <c r="AP170" s="264"/>
      <c r="AQ170" s="265"/>
      <c r="AR170" s="264"/>
      <c r="AS170" s="265"/>
      <c r="AT170" s="265"/>
      <c r="AU170" s="264"/>
      <c r="AV170" s="265"/>
      <c r="AW170" s="264"/>
      <c r="AX170" s="265"/>
      <c r="AY170" s="264"/>
      <c r="AZ170" s="265"/>
      <c r="BA170" s="264"/>
      <c r="BB170" s="265"/>
      <c r="BC170" s="264"/>
      <c r="BD170" s="265"/>
      <c r="BE170" s="264"/>
      <c r="BF170" s="265"/>
      <c r="BG170" s="264"/>
      <c r="BH170" s="265"/>
      <c r="BI170" s="264">
        <f t="shared" si="17"/>
        <v>0</v>
      </c>
      <c r="BJ170" s="268"/>
      <c r="BK170" s="269"/>
      <c r="BL170" s="269"/>
      <c r="BM170" s="270"/>
    </row>
    <row r="171" spans="1:65" s="282" customFormat="1" ht="18" x14ac:dyDescent="0.25">
      <c r="A171" s="246" t="s">
        <v>898</v>
      </c>
      <c r="B171" s="283" t="s">
        <v>1582</v>
      </c>
      <c r="C171" s="268"/>
      <c r="D171" s="264"/>
      <c r="E171" s="265"/>
      <c r="F171" s="264"/>
      <c r="G171" s="265"/>
      <c r="H171" s="264"/>
      <c r="I171" s="265"/>
      <c r="J171" s="264"/>
      <c r="K171" s="265"/>
      <c r="L171" s="281"/>
      <c r="M171" s="265"/>
      <c r="N171" s="264"/>
      <c r="O171" s="265"/>
      <c r="P171" s="264"/>
      <c r="Q171" s="265"/>
      <c r="R171" s="264"/>
      <c r="S171" s="265"/>
      <c r="T171" s="264"/>
      <c r="U171" s="265"/>
      <c r="V171" s="264"/>
      <c r="W171" s="265"/>
      <c r="X171" s="264"/>
      <c r="Y171" s="265"/>
      <c r="Z171" s="265"/>
      <c r="AA171" s="264"/>
      <c r="AB171" s="265"/>
      <c r="AC171" s="264"/>
      <c r="AD171" s="264"/>
      <c r="AE171" s="265"/>
      <c r="AF171" s="264"/>
      <c r="AG171" s="265"/>
      <c r="AH171" s="264"/>
      <c r="AI171" s="265"/>
      <c r="AJ171" s="264"/>
      <c r="AK171" s="265"/>
      <c r="AL171" s="264"/>
      <c r="AM171" s="265"/>
      <c r="AN171" s="264"/>
      <c r="AO171" s="265"/>
      <c r="AP171" s="264"/>
      <c r="AQ171" s="265"/>
      <c r="AR171" s="264"/>
      <c r="AS171" s="265"/>
      <c r="AT171" s="265"/>
      <c r="AU171" s="264"/>
      <c r="AV171" s="265"/>
      <c r="AW171" s="264"/>
      <c r="AX171" s="265"/>
      <c r="AY171" s="264"/>
      <c r="AZ171" s="265"/>
      <c r="BA171" s="264"/>
      <c r="BB171" s="265"/>
      <c r="BC171" s="264"/>
      <c r="BD171" s="265"/>
      <c r="BE171" s="264"/>
      <c r="BF171" s="265"/>
      <c r="BG171" s="264"/>
      <c r="BH171" s="265"/>
      <c r="BI171" s="264">
        <f t="shared" si="17"/>
        <v>0</v>
      </c>
      <c r="BJ171" s="268"/>
      <c r="BK171" s="269"/>
      <c r="BL171" s="269"/>
      <c r="BM171" s="270"/>
    </row>
    <row r="172" spans="1:65" s="282" customFormat="1" ht="18" x14ac:dyDescent="0.25">
      <c r="A172" s="246" t="s">
        <v>899</v>
      </c>
      <c r="B172" s="283" t="s">
        <v>1583</v>
      </c>
      <c r="C172" s="268"/>
      <c r="D172" s="264"/>
      <c r="E172" s="265"/>
      <c r="F172" s="264"/>
      <c r="G172" s="265"/>
      <c r="H172" s="264"/>
      <c r="I172" s="265"/>
      <c r="J172" s="264"/>
      <c r="K172" s="265"/>
      <c r="L172" s="281"/>
      <c r="M172" s="265"/>
      <c r="N172" s="264"/>
      <c r="O172" s="265"/>
      <c r="P172" s="264"/>
      <c r="Q172" s="265"/>
      <c r="R172" s="264"/>
      <c r="S172" s="265"/>
      <c r="T172" s="264"/>
      <c r="U172" s="265"/>
      <c r="V172" s="264"/>
      <c r="W172" s="265"/>
      <c r="X172" s="264"/>
      <c r="Y172" s="265"/>
      <c r="Z172" s="265"/>
      <c r="AA172" s="264"/>
      <c r="AB172" s="265"/>
      <c r="AC172" s="264"/>
      <c r="AD172" s="264"/>
      <c r="AE172" s="265"/>
      <c r="AF172" s="264"/>
      <c r="AG172" s="265"/>
      <c r="AH172" s="264"/>
      <c r="AI172" s="265"/>
      <c r="AJ172" s="264"/>
      <c r="AK172" s="265"/>
      <c r="AL172" s="264"/>
      <c r="AM172" s="265"/>
      <c r="AN172" s="264"/>
      <c r="AO172" s="265"/>
      <c r="AP172" s="264"/>
      <c r="AQ172" s="265"/>
      <c r="AR172" s="264"/>
      <c r="AS172" s="265"/>
      <c r="AT172" s="265"/>
      <c r="AU172" s="264"/>
      <c r="AV172" s="265"/>
      <c r="AW172" s="264"/>
      <c r="AX172" s="265"/>
      <c r="AY172" s="264"/>
      <c r="AZ172" s="265"/>
      <c r="BA172" s="264"/>
      <c r="BB172" s="265"/>
      <c r="BC172" s="264"/>
      <c r="BD172" s="265"/>
      <c r="BE172" s="264"/>
      <c r="BF172" s="265"/>
      <c r="BG172" s="264"/>
      <c r="BH172" s="265"/>
      <c r="BI172" s="264">
        <f t="shared" si="17"/>
        <v>0</v>
      </c>
      <c r="BJ172" s="268"/>
      <c r="BK172" s="269"/>
      <c r="BL172" s="269"/>
      <c r="BM172" s="270"/>
    </row>
    <row r="173" spans="1:65" s="282" customFormat="1" ht="18.75" thickBot="1" x14ac:dyDescent="0.3">
      <c r="A173" s="246" t="s">
        <v>900</v>
      </c>
      <c r="B173" s="283" t="s">
        <v>901</v>
      </c>
      <c r="C173" s="265"/>
      <c r="D173" s="264">
        <f>SUM(GenFundExp2!I532+GenFundExp2!I534+GenFundExp2!I535+GenFundExp2!I537)</f>
        <v>0</v>
      </c>
      <c r="E173" s="265"/>
      <c r="F173" s="264">
        <f>SUM(CharterFundExp2!I532+CharterFundExp2!I534+CharterFundExp2!I535+CharterFundExp2!I537)</f>
        <v>0</v>
      </c>
      <c r="G173" s="265"/>
      <c r="H173" s="264">
        <f>+InsResv!I36</f>
        <v>0</v>
      </c>
      <c r="I173" s="265"/>
      <c r="J173" s="264">
        <f>'CPP Fund'!I113+'CPP Fund'!I114</f>
        <v>0</v>
      </c>
      <c r="K173" s="265"/>
      <c r="L173" s="281"/>
      <c r="M173" s="265"/>
      <c r="N173" s="264">
        <f>SUM(CapRes!I64:I67)</f>
        <v>0</v>
      </c>
      <c r="O173" s="265"/>
      <c r="P173" s="264"/>
      <c r="Q173" s="265"/>
      <c r="R173" s="264"/>
      <c r="S173" s="265"/>
      <c r="T173" s="264"/>
      <c r="U173" s="265"/>
      <c r="V173" s="264"/>
      <c r="W173" s="265"/>
      <c r="X173" s="264">
        <f>SUM(OthSpecRev!I52:I55)</f>
        <v>0</v>
      </c>
      <c r="Y173" s="265"/>
      <c r="Z173" s="265"/>
      <c r="AA173" s="264"/>
      <c r="AB173" s="265"/>
      <c r="AC173" s="264">
        <f>SUM(BondRedm!I32:I35)</f>
        <v>0</v>
      </c>
      <c r="AD173" s="264">
        <f>SUM(NonVoterDebt!I32:I35)</f>
        <v>0</v>
      </c>
      <c r="AE173" s="265"/>
      <c r="AF173" s="264"/>
      <c r="AG173" s="265"/>
      <c r="AH173" s="264"/>
      <c r="AI173" s="265"/>
      <c r="AJ173" s="264">
        <f>SUM(CapResCapPrj!I73:I76)</f>
        <v>0</v>
      </c>
      <c r="AK173" s="265"/>
      <c r="AL173" s="264"/>
      <c r="AM173" s="265"/>
      <c r="AN173" s="264"/>
      <c r="AO173" s="265"/>
      <c r="AP173" s="264"/>
      <c r="AQ173" s="265"/>
      <c r="AR173" s="264"/>
      <c r="AS173" s="265"/>
      <c r="AT173" s="265"/>
      <c r="AU173" s="264"/>
      <c r="AV173" s="265"/>
      <c r="AW173" s="264"/>
      <c r="AX173" s="265"/>
      <c r="AY173" s="264"/>
      <c r="AZ173" s="265"/>
      <c r="BA173" s="264"/>
      <c r="BB173" s="265"/>
      <c r="BC173" s="264"/>
      <c r="BD173" s="265"/>
      <c r="BE173" s="264"/>
      <c r="BF173" s="265"/>
      <c r="BG173" s="264"/>
      <c r="BH173" s="265"/>
      <c r="BI173" s="264">
        <f t="shared" si="17"/>
        <v>0</v>
      </c>
      <c r="BJ173" s="265"/>
      <c r="BK173" s="269"/>
      <c r="BL173" s="269"/>
      <c r="BM173" s="270"/>
    </row>
    <row r="174" spans="1:65" s="282" customFormat="1" ht="18.75" thickBot="1" x14ac:dyDescent="0.3">
      <c r="A174" s="271" t="s">
        <v>859</v>
      </c>
      <c r="B174" s="279"/>
      <c r="C174" s="275"/>
      <c r="D174" s="274">
        <f>SUM(D168:D173)</f>
        <v>0</v>
      </c>
      <c r="E174" s="275"/>
      <c r="F174" s="274">
        <f>SUM(F168:F173)</f>
        <v>0</v>
      </c>
      <c r="G174" s="275"/>
      <c r="H174" s="274">
        <f>SUM(H168:H173)</f>
        <v>0</v>
      </c>
      <c r="I174" s="275"/>
      <c r="J174" s="274">
        <f>SUM(J168:J173)</f>
        <v>0</v>
      </c>
      <c r="K174" s="275"/>
      <c r="L174" s="274">
        <f>SUM(L168:L173)</f>
        <v>0</v>
      </c>
      <c r="M174" s="275"/>
      <c r="N174" s="274">
        <f>SUM(N168:N173)</f>
        <v>0</v>
      </c>
      <c r="O174" s="275"/>
      <c r="P174" s="274">
        <f>SUM(P168:P173)</f>
        <v>0</v>
      </c>
      <c r="Q174" s="275"/>
      <c r="R174" s="274">
        <f>SUM(R168:R173)</f>
        <v>0</v>
      </c>
      <c r="S174" s="275"/>
      <c r="T174" s="274">
        <f>SUM(T168:T173)</f>
        <v>0</v>
      </c>
      <c r="U174" s="275"/>
      <c r="V174" s="274">
        <f>SUM(V168:V173)</f>
        <v>0</v>
      </c>
      <c r="W174" s="275"/>
      <c r="X174" s="274">
        <f>SUM(X168:X173)</f>
        <v>0</v>
      </c>
      <c r="Y174" s="275"/>
      <c r="Z174" s="275"/>
      <c r="AA174" s="274">
        <f>SUM(AA168:AA173)</f>
        <v>0</v>
      </c>
      <c r="AB174" s="275"/>
      <c r="AC174" s="274">
        <f>SUM(AC168:AC173)</f>
        <v>0</v>
      </c>
      <c r="AD174" s="274">
        <f>SUM(AD168:AD173)</f>
        <v>0</v>
      </c>
      <c r="AE174" s="275"/>
      <c r="AF174" s="274">
        <f>SUM(AF168:AF173)</f>
        <v>0</v>
      </c>
      <c r="AG174" s="275"/>
      <c r="AH174" s="274">
        <f>SUM(AH168:AH173)</f>
        <v>0</v>
      </c>
      <c r="AI174" s="275"/>
      <c r="AJ174" s="274">
        <f>SUM(AJ168:AJ173)</f>
        <v>0</v>
      </c>
      <c r="AK174" s="275"/>
      <c r="AL174" s="274">
        <f>SUM(AL168:AL173)</f>
        <v>0</v>
      </c>
      <c r="AM174" s="275"/>
      <c r="AN174" s="274">
        <f>SUM(AN168:AN173)</f>
        <v>0</v>
      </c>
      <c r="AO174" s="275"/>
      <c r="AP174" s="274">
        <f>SUM(AP168:AP173)</f>
        <v>0</v>
      </c>
      <c r="AQ174" s="275"/>
      <c r="AR174" s="274">
        <f>SUM(AR168:AR173)</f>
        <v>0</v>
      </c>
      <c r="AS174" s="275"/>
      <c r="AT174" s="275"/>
      <c r="AU174" s="274">
        <f>SUM(AU168:AU173)</f>
        <v>0</v>
      </c>
      <c r="AV174" s="275"/>
      <c r="AW174" s="274">
        <f>SUM(AW168:AW173)</f>
        <v>0</v>
      </c>
      <c r="AX174" s="275"/>
      <c r="AY174" s="274">
        <f>SUM(AY168:AY173)</f>
        <v>0</v>
      </c>
      <c r="AZ174" s="275"/>
      <c r="BA174" s="274">
        <f>SUM(BA168:BA173)</f>
        <v>0</v>
      </c>
      <c r="BB174" s="275"/>
      <c r="BC174" s="274">
        <f>SUM(BC168:BC173)</f>
        <v>0</v>
      </c>
      <c r="BD174" s="275"/>
      <c r="BE174" s="274">
        <f>SUM(BE168:BE173)</f>
        <v>0</v>
      </c>
      <c r="BF174" s="275"/>
      <c r="BG174" s="274">
        <f>SUM(BG168:BG173)</f>
        <v>0</v>
      </c>
      <c r="BH174" s="275"/>
      <c r="BI174" s="274">
        <f t="shared" si="17"/>
        <v>0</v>
      </c>
      <c r="BJ174" s="275"/>
      <c r="BK174" s="276"/>
      <c r="BL174" s="276"/>
      <c r="BM174" s="270"/>
    </row>
    <row r="175" spans="1:65" s="282" customFormat="1" ht="18.75" thickBot="1" x14ac:dyDescent="0.3">
      <c r="A175" s="246"/>
      <c r="B175" s="262"/>
      <c r="C175" s="284"/>
      <c r="D175" s="264"/>
      <c r="E175" s="265"/>
      <c r="F175" s="264"/>
      <c r="G175" s="265"/>
      <c r="H175" s="264"/>
      <c r="I175" s="265"/>
      <c r="J175" s="264"/>
      <c r="K175" s="265"/>
      <c r="L175" s="281"/>
      <c r="M175" s="265"/>
      <c r="N175" s="264"/>
      <c r="O175" s="265"/>
      <c r="P175" s="264"/>
      <c r="Q175" s="265"/>
      <c r="R175" s="264"/>
      <c r="S175" s="265"/>
      <c r="T175" s="264"/>
      <c r="U175" s="265"/>
      <c r="V175" s="264"/>
      <c r="W175" s="265"/>
      <c r="X175" s="264"/>
      <c r="Y175" s="265"/>
      <c r="Z175" s="265"/>
      <c r="AA175" s="264"/>
      <c r="AB175" s="265"/>
      <c r="AC175" s="264"/>
      <c r="AD175" s="264"/>
      <c r="AE175" s="265"/>
      <c r="AF175" s="264"/>
      <c r="AG175" s="265"/>
      <c r="AH175" s="264"/>
      <c r="AI175" s="265"/>
      <c r="AJ175" s="264"/>
      <c r="AK175" s="265"/>
      <c r="AL175" s="264"/>
      <c r="AM175" s="265"/>
      <c r="AN175" s="264"/>
      <c r="AO175" s="265"/>
      <c r="AP175" s="264"/>
      <c r="AQ175" s="265"/>
      <c r="AR175" s="264"/>
      <c r="AS175" s="265"/>
      <c r="AT175" s="265"/>
      <c r="AU175" s="264"/>
      <c r="AV175" s="265"/>
      <c r="AW175" s="264"/>
      <c r="AX175" s="265"/>
      <c r="AY175" s="264"/>
      <c r="AZ175" s="265"/>
      <c r="BA175" s="264"/>
      <c r="BB175" s="265"/>
      <c r="BC175" s="264"/>
      <c r="BD175" s="265"/>
      <c r="BE175" s="264"/>
      <c r="BF175" s="265"/>
      <c r="BG175" s="264"/>
      <c r="BH175" s="265"/>
      <c r="BI175" s="264"/>
      <c r="BJ175" s="284"/>
      <c r="BK175" s="269"/>
      <c r="BL175" s="269"/>
      <c r="BM175" s="270"/>
    </row>
    <row r="176" spans="1:65" s="282" customFormat="1" ht="18.75" thickBot="1" x14ac:dyDescent="0.3">
      <c r="A176" s="271" t="s">
        <v>928</v>
      </c>
      <c r="B176" s="279"/>
      <c r="C176" s="275"/>
      <c r="D176" s="274">
        <f>SUM(D156+D39+D174+D165)</f>
        <v>0</v>
      </c>
      <c r="E176" s="275"/>
      <c r="F176" s="274">
        <f>SUM(F156+F39+F174+F165)</f>
        <v>0</v>
      </c>
      <c r="G176" s="275"/>
      <c r="H176" s="274">
        <f>SUM(H156+H39+H174+H165)</f>
        <v>0</v>
      </c>
      <c r="I176" s="275"/>
      <c r="J176" s="274">
        <f>SUM(J156+J39+J174+J165)</f>
        <v>0</v>
      </c>
      <c r="K176" s="275"/>
      <c r="L176" s="274">
        <f>SUM(L156+L39+L174+L165)</f>
        <v>0</v>
      </c>
      <c r="M176" s="275"/>
      <c r="N176" s="274">
        <f>SUM(N156+N39+N174+N165)</f>
        <v>0</v>
      </c>
      <c r="O176" s="275"/>
      <c r="P176" s="274">
        <f>SUM(P156+P39+P174+P165)</f>
        <v>0</v>
      </c>
      <c r="Q176" s="275"/>
      <c r="R176" s="274">
        <f>SUM(R156+R39+R174+R165)</f>
        <v>0</v>
      </c>
      <c r="S176" s="275"/>
      <c r="T176" s="274">
        <f>SUM(T156+T39+T174+T165)</f>
        <v>0</v>
      </c>
      <c r="U176" s="275"/>
      <c r="V176" s="274">
        <f>SUM(V156+V39+V174+V165)</f>
        <v>0</v>
      </c>
      <c r="W176" s="275"/>
      <c r="X176" s="274">
        <f>SUM(X156+X39+X174+X165)</f>
        <v>0</v>
      </c>
      <c r="Y176" s="275"/>
      <c r="Z176" s="275"/>
      <c r="AA176" s="274">
        <f>SUM(AA156+AA39+AA174+AA165)</f>
        <v>0</v>
      </c>
      <c r="AB176" s="275"/>
      <c r="AC176" s="274">
        <f>SUM(AC156+AC39+AC174+AC165)</f>
        <v>0</v>
      </c>
      <c r="AD176" s="274">
        <f>SUM(AD156+AD39+AD174+AD165)</f>
        <v>0</v>
      </c>
      <c r="AE176" s="275"/>
      <c r="AF176" s="274">
        <f>SUM(AF156+AF39+AF174+AF165)</f>
        <v>0</v>
      </c>
      <c r="AG176" s="275"/>
      <c r="AH176" s="274">
        <f>SUM(AH156+AH39+AH174+AH165)</f>
        <v>0</v>
      </c>
      <c r="AI176" s="275"/>
      <c r="AJ176" s="274">
        <f>SUM(AJ156+AJ39+AJ174+AJ165)</f>
        <v>0</v>
      </c>
      <c r="AK176" s="275"/>
      <c r="AL176" s="274">
        <f>SUM(AL156+AL39+AL174+AL165)</f>
        <v>0</v>
      </c>
      <c r="AM176" s="275"/>
      <c r="AN176" s="274">
        <f>SUM(AN156+AN39+AN174+AN165)</f>
        <v>0</v>
      </c>
      <c r="AO176" s="275"/>
      <c r="AP176" s="274">
        <f>SUM(AP156+AP39+AP174+AP165)</f>
        <v>0</v>
      </c>
      <c r="AQ176" s="275"/>
      <c r="AR176" s="274">
        <f>SUM(AR156+AR39+AR174+AR165)</f>
        <v>0</v>
      </c>
      <c r="AS176" s="275"/>
      <c r="AT176" s="275"/>
      <c r="AU176" s="274">
        <f>SUM(AU156+AU39+AU174+AU165)</f>
        <v>0</v>
      </c>
      <c r="AV176" s="275"/>
      <c r="AW176" s="274">
        <f>SUM(AW156+AW39+AW174+AW165)</f>
        <v>0</v>
      </c>
      <c r="AX176" s="275"/>
      <c r="AY176" s="274">
        <f>SUM(AY156+AY39+AY174+AY165)</f>
        <v>0</v>
      </c>
      <c r="AZ176" s="275"/>
      <c r="BA176" s="274">
        <f>SUM(BA156+BA39+BA174+BA165)</f>
        <v>0</v>
      </c>
      <c r="BB176" s="275"/>
      <c r="BC176" s="274">
        <f>SUM(BC156+BC39+BC174+BC165)</f>
        <v>0</v>
      </c>
      <c r="BD176" s="275"/>
      <c r="BE176" s="274">
        <f>SUM(BE156+BE39+BE174+BE165)</f>
        <v>0</v>
      </c>
      <c r="BF176" s="275"/>
      <c r="BG176" s="274">
        <f>SUM(BG156+BG39+BG174+BG165)</f>
        <v>0</v>
      </c>
      <c r="BH176" s="275"/>
      <c r="BI176" s="274">
        <f>D176+F176+H176+J176+X176+N176+P176+R176+L176+T176+V176+AA176+AC176+AD176+AF176+AH176+AJ176+AL176+AN176+AP176+AR176+AU176+AW176+AY176+BA176+BC176+BE176+BG176</f>
        <v>0</v>
      </c>
      <c r="BJ176" s="275"/>
      <c r="BK176" s="276"/>
      <c r="BL176" s="276"/>
      <c r="BM176" s="270"/>
    </row>
    <row r="177" spans="1:65" s="282" customFormat="1" ht="18" x14ac:dyDescent="0.25">
      <c r="A177" s="246"/>
      <c r="B177" s="262"/>
      <c r="C177" s="268"/>
      <c r="D177" s="264"/>
      <c r="E177" s="265"/>
      <c r="F177" s="264"/>
      <c r="G177" s="265"/>
      <c r="H177" s="264"/>
      <c r="I177" s="265"/>
      <c r="J177" s="264"/>
      <c r="K177" s="265"/>
      <c r="L177" s="281"/>
      <c r="M177" s="265"/>
      <c r="N177" s="264"/>
      <c r="O177" s="265"/>
      <c r="P177" s="264"/>
      <c r="Q177" s="265"/>
      <c r="R177" s="264"/>
      <c r="S177" s="265"/>
      <c r="T177" s="264"/>
      <c r="U177" s="265"/>
      <c r="V177" s="264"/>
      <c r="W177" s="265"/>
      <c r="X177" s="264"/>
      <c r="Y177" s="265"/>
      <c r="Z177" s="265"/>
      <c r="AA177" s="264"/>
      <c r="AB177" s="265"/>
      <c r="AC177" s="264"/>
      <c r="AD177" s="264"/>
      <c r="AE177" s="265"/>
      <c r="AF177" s="264"/>
      <c r="AG177" s="265"/>
      <c r="AH177" s="264"/>
      <c r="AI177" s="265"/>
      <c r="AJ177" s="264"/>
      <c r="AK177" s="265"/>
      <c r="AL177" s="264"/>
      <c r="AM177" s="265"/>
      <c r="AN177" s="264"/>
      <c r="AO177" s="265"/>
      <c r="AP177" s="264"/>
      <c r="AQ177" s="265"/>
      <c r="AR177" s="264"/>
      <c r="AS177" s="265"/>
      <c r="AT177" s="265"/>
      <c r="AU177" s="264"/>
      <c r="AV177" s="265"/>
      <c r="AW177" s="264"/>
      <c r="AX177" s="265"/>
      <c r="AY177" s="264"/>
      <c r="AZ177" s="265"/>
      <c r="BA177" s="264"/>
      <c r="BB177" s="265"/>
      <c r="BC177" s="264"/>
      <c r="BD177" s="265"/>
      <c r="BE177" s="264"/>
      <c r="BF177" s="265"/>
      <c r="BG177" s="264"/>
      <c r="BH177" s="265"/>
      <c r="BI177" s="264"/>
      <c r="BJ177" s="268"/>
      <c r="BK177" s="269"/>
      <c r="BL177" s="269"/>
      <c r="BM177" s="270"/>
    </row>
    <row r="178" spans="1:65" s="282" customFormat="1" ht="18" x14ac:dyDescent="0.25">
      <c r="A178" s="246" t="s">
        <v>392</v>
      </c>
      <c r="B178" s="262"/>
      <c r="C178" s="268"/>
      <c r="D178" s="264"/>
      <c r="E178" s="265"/>
      <c r="F178" s="264"/>
      <c r="G178" s="265"/>
      <c r="H178" s="264"/>
      <c r="I178" s="265"/>
      <c r="J178" s="264"/>
      <c r="K178" s="265"/>
      <c r="L178" s="281"/>
      <c r="M178" s="265"/>
      <c r="N178" s="264"/>
      <c r="O178" s="265"/>
      <c r="P178" s="264"/>
      <c r="Q178" s="265"/>
      <c r="R178" s="264"/>
      <c r="S178" s="265"/>
      <c r="T178" s="264"/>
      <c r="U178" s="265"/>
      <c r="V178" s="264"/>
      <c r="W178" s="265"/>
      <c r="X178" s="264"/>
      <c r="Y178" s="265"/>
      <c r="Z178" s="265"/>
      <c r="AA178" s="264"/>
      <c r="AB178" s="265"/>
      <c r="AC178" s="264"/>
      <c r="AD178" s="264"/>
      <c r="AE178" s="265"/>
      <c r="AF178" s="264"/>
      <c r="AG178" s="265"/>
      <c r="AH178" s="264"/>
      <c r="AI178" s="265"/>
      <c r="AJ178" s="264"/>
      <c r="AK178" s="265"/>
      <c r="AL178" s="264"/>
      <c r="AM178" s="265"/>
      <c r="AN178" s="264"/>
      <c r="AO178" s="265"/>
      <c r="AP178" s="264"/>
      <c r="AQ178" s="265"/>
      <c r="AR178" s="264"/>
      <c r="AS178" s="265"/>
      <c r="AT178" s="265"/>
      <c r="AU178" s="264"/>
      <c r="AV178" s="265"/>
      <c r="AW178" s="264"/>
      <c r="AX178" s="265"/>
      <c r="AY178" s="264"/>
      <c r="AZ178" s="265"/>
      <c r="BA178" s="264"/>
      <c r="BB178" s="265"/>
      <c r="BC178" s="264"/>
      <c r="BD178" s="265"/>
      <c r="BE178" s="264"/>
      <c r="BF178" s="265"/>
      <c r="BG178" s="264"/>
      <c r="BH178" s="265"/>
      <c r="BI178" s="264"/>
      <c r="BJ178" s="268"/>
      <c r="BK178" s="269"/>
      <c r="BL178" s="269"/>
      <c r="BM178" s="270"/>
    </row>
    <row r="179" spans="1:65" s="282" customFormat="1" ht="36" x14ac:dyDescent="0.25">
      <c r="A179" s="246" t="s">
        <v>929</v>
      </c>
      <c r="B179" s="283" t="s">
        <v>930</v>
      </c>
      <c r="C179" s="268"/>
      <c r="D179" s="281">
        <f>GenFundExp2!I549</f>
        <v>0</v>
      </c>
      <c r="E179" s="265"/>
      <c r="F179" s="281">
        <f>CharterFundExp2!I547</f>
        <v>0</v>
      </c>
      <c r="G179" s="265"/>
      <c r="H179" s="264">
        <f>InsResv!I46</f>
        <v>0</v>
      </c>
      <c r="I179" s="265"/>
      <c r="J179" s="264">
        <f>'CPP Fund'!I124</f>
        <v>0</v>
      </c>
      <c r="K179" s="265"/>
      <c r="L179" s="281">
        <f>ARRAGrants!J178</f>
        <v>0</v>
      </c>
      <c r="M179" s="265"/>
      <c r="N179" s="264">
        <f>CapRes!I78</f>
        <v>0</v>
      </c>
      <c r="O179" s="265"/>
      <c r="P179" s="264">
        <f>GovGrants!J178</f>
        <v>0</v>
      </c>
      <c r="Q179" s="265"/>
      <c r="R179" s="264">
        <f>PupActiv!I64</f>
        <v>0</v>
      </c>
      <c r="S179" s="265"/>
      <c r="T179" s="264">
        <f>FullDayKOverride!I45</f>
        <v>0</v>
      </c>
      <c r="U179" s="265"/>
      <c r="V179" s="264">
        <f>Transp!I44</f>
        <v>0</v>
      </c>
      <c r="W179" s="265"/>
      <c r="X179" s="264">
        <f>OthSpecRev!I66</f>
        <v>0</v>
      </c>
      <c r="Y179" s="265"/>
      <c r="Z179" s="265"/>
      <c r="AA179" s="264"/>
      <c r="AB179" s="265"/>
      <c r="AC179" s="264">
        <f>BondRedm!I43</f>
        <v>0</v>
      </c>
      <c r="AD179" s="264">
        <f>NonVoterDebt!I43</f>
        <v>0</v>
      </c>
      <c r="AE179" s="265"/>
      <c r="AF179" s="264">
        <f>BuildFund!I50</f>
        <v>0</v>
      </c>
      <c r="AG179" s="265"/>
      <c r="AH179" s="264">
        <f>SpecBuild!I37</f>
        <v>0</v>
      </c>
      <c r="AI179" s="265"/>
      <c r="AJ179" s="264">
        <f>CapResCapPrj!I87</f>
        <v>0</v>
      </c>
      <c r="AK179" s="265"/>
      <c r="AL179" s="264">
        <f>OtherEnterprise!I44</f>
        <v>0</v>
      </c>
      <c r="AM179" s="265"/>
      <c r="AN179" s="264">
        <f>FoodServ!I54</f>
        <v>0</v>
      </c>
      <c r="AO179" s="265"/>
      <c r="AP179" s="264">
        <f>OtherInternal!I46</f>
        <v>0</v>
      </c>
      <c r="AQ179" s="265"/>
      <c r="AR179" s="264"/>
      <c r="AS179" s="265"/>
      <c r="AT179" s="265"/>
      <c r="AU179" s="264">
        <f>RiskRelated!I42</f>
        <v>0</v>
      </c>
      <c r="AV179" s="265"/>
      <c r="AW179" s="264">
        <f>'Trust&amp;Agency'!I55</f>
        <v>0</v>
      </c>
      <c r="AX179" s="265"/>
      <c r="AY179" s="264"/>
      <c r="AZ179" s="265"/>
      <c r="BA179" s="264"/>
      <c r="BB179" s="265"/>
      <c r="BC179" s="264">
        <f>PupilActAgency!I56</f>
        <v>0</v>
      </c>
      <c r="BD179" s="265"/>
      <c r="BE179" s="264">
        <f>'Foundation Fund'!I55</f>
        <v>0</v>
      </c>
      <c r="BF179" s="265"/>
      <c r="BG179" s="656">
        <f>Arbitrage!G32</f>
        <v>0</v>
      </c>
      <c r="BH179" s="265"/>
      <c r="BI179" s="264">
        <f t="shared" ref="BI179:BI186" si="18">D179+F179+H179+J179+X179+N179+P179+R179+L179+T179+V179+AA179+AC179+AD179+AF179+AH179+AJ179+AL179+AN179+AP179+AR179+AU179+AW179+AY179+BA179+BC179+BE179+BG179</f>
        <v>0</v>
      </c>
      <c r="BJ179" s="268"/>
      <c r="BK179" s="269"/>
      <c r="BL179" s="269"/>
      <c r="BM179" s="270"/>
    </row>
    <row r="180" spans="1:65" s="282" customFormat="1" ht="18" x14ac:dyDescent="0.25">
      <c r="A180" s="258" t="s">
        <v>1677</v>
      </c>
      <c r="B180" s="283" t="s">
        <v>930</v>
      </c>
      <c r="C180" s="268"/>
      <c r="D180" s="281">
        <f>GenFundExp2!I548</f>
        <v>0</v>
      </c>
      <c r="E180" s="265"/>
      <c r="F180" s="281">
        <f>CharterFundExp2!I546</f>
        <v>0</v>
      </c>
      <c r="G180" s="265"/>
      <c r="H180" s="264">
        <f>InsResv!I45</f>
        <v>0</v>
      </c>
      <c r="I180" s="265"/>
      <c r="J180" s="264">
        <f>'CPP Fund'!I123</f>
        <v>0</v>
      </c>
      <c r="K180" s="265"/>
      <c r="L180" s="281">
        <f>ARRAGrants!J177</f>
        <v>0</v>
      </c>
      <c r="M180" s="265"/>
      <c r="N180" s="264">
        <f>CapRes!I77</f>
        <v>0</v>
      </c>
      <c r="O180" s="265"/>
      <c r="P180" s="264">
        <f>GovGrants!J177</f>
        <v>0</v>
      </c>
      <c r="Q180" s="265"/>
      <c r="R180" s="264">
        <f>PupActiv!I63</f>
        <v>0</v>
      </c>
      <c r="S180" s="265"/>
      <c r="T180" s="264">
        <f>FullDayKOverride!I44</f>
        <v>0</v>
      </c>
      <c r="U180" s="265"/>
      <c r="V180" s="264">
        <f>Transp!I43</f>
        <v>0</v>
      </c>
      <c r="W180" s="265"/>
      <c r="X180" s="264">
        <f>OthSpecRev!I65</f>
        <v>0</v>
      </c>
      <c r="Y180" s="265"/>
      <c r="Z180" s="265"/>
      <c r="AA180" s="264"/>
      <c r="AB180" s="265"/>
      <c r="AC180" s="264">
        <f>BondRedm!I42</f>
        <v>0</v>
      </c>
      <c r="AD180" s="264">
        <f>[1]NonVoterDebt!I42</f>
        <v>0</v>
      </c>
      <c r="AE180" s="265"/>
      <c r="AF180" s="264">
        <f>BuildFund!I49</f>
        <v>0</v>
      </c>
      <c r="AG180" s="265"/>
      <c r="AH180" s="264">
        <f>SpecBuild!I36</f>
        <v>0</v>
      </c>
      <c r="AI180" s="265"/>
      <c r="AJ180" s="264">
        <f>CapResCapPrj!I86</f>
        <v>0</v>
      </c>
      <c r="AK180" s="265"/>
      <c r="AL180" s="264">
        <f>OtherEnterprise!I43</f>
        <v>0</v>
      </c>
      <c r="AM180" s="265"/>
      <c r="AN180" s="264">
        <f>FoodServ!I53</f>
        <v>0</v>
      </c>
      <c r="AO180" s="265"/>
      <c r="AP180" s="264">
        <f>OtherInternal!I45</f>
        <v>0</v>
      </c>
      <c r="AQ180" s="265"/>
      <c r="AR180" s="264"/>
      <c r="AS180" s="265"/>
      <c r="AT180" s="265"/>
      <c r="AU180" s="264">
        <f>RiskRelated!I41</f>
        <v>0</v>
      </c>
      <c r="AV180" s="265"/>
      <c r="AW180" s="264">
        <f>'Trust&amp;Agency'!I54</f>
        <v>0</v>
      </c>
      <c r="AX180" s="265"/>
      <c r="AY180" s="264"/>
      <c r="AZ180" s="265"/>
      <c r="BA180" s="264"/>
      <c r="BB180" s="265"/>
      <c r="BC180" s="264">
        <f>PupilActAgency!I55</f>
        <v>0</v>
      </c>
      <c r="BD180" s="265"/>
      <c r="BE180" s="264">
        <f>'Foundation Fund'!I54</f>
        <v>0</v>
      </c>
      <c r="BF180" s="265"/>
      <c r="BG180" s="264"/>
      <c r="BH180" s="265"/>
      <c r="BI180" s="264">
        <f t="shared" si="18"/>
        <v>0</v>
      </c>
      <c r="BJ180" s="268"/>
      <c r="BK180" s="269"/>
      <c r="BL180" s="269"/>
      <c r="BM180" s="270"/>
    </row>
    <row r="181" spans="1:65" s="282" customFormat="1" ht="36" x14ac:dyDescent="0.25">
      <c r="A181" s="246" t="s">
        <v>931</v>
      </c>
      <c r="B181" s="283" t="s">
        <v>930</v>
      </c>
      <c r="C181" s="268"/>
      <c r="D181" s="264">
        <f>GenFundExp2!I543</f>
        <v>0</v>
      </c>
      <c r="E181" s="265"/>
      <c r="F181" s="264">
        <f>CharterFundExp2!I543</f>
        <v>0</v>
      </c>
      <c r="G181" s="265"/>
      <c r="H181" s="264">
        <f>InsResv!I42</f>
        <v>0</v>
      </c>
      <c r="I181" s="265"/>
      <c r="J181" s="264">
        <f>'CPP Fund'!I120</f>
        <v>0</v>
      </c>
      <c r="K181" s="265"/>
      <c r="L181" s="281">
        <f>ARRAGrants!J174</f>
        <v>0</v>
      </c>
      <c r="M181" s="265"/>
      <c r="N181" s="264">
        <f>CapRes!I74</f>
        <v>0</v>
      </c>
      <c r="O181" s="265"/>
      <c r="P181" s="264">
        <f>GovGrants!J174</f>
        <v>0</v>
      </c>
      <c r="Q181" s="265"/>
      <c r="R181" s="264">
        <f>PupActiv!I60</f>
        <v>0</v>
      </c>
      <c r="S181" s="265"/>
      <c r="T181" s="264">
        <f>FullDayKOverride!I41</f>
        <v>0</v>
      </c>
      <c r="U181" s="265"/>
      <c r="V181" s="264">
        <f>Transp!I40</f>
        <v>0</v>
      </c>
      <c r="W181" s="265"/>
      <c r="X181" s="264">
        <f>OthSpecRev!I62</f>
        <v>0</v>
      </c>
      <c r="Y181" s="265"/>
      <c r="Z181" s="265"/>
      <c r="AA181" s="264"/>
      <c r="AB181" s="265"/>
      <c r="AC181" s="264">
        <f>BondRedm!I40</f>
        <v>0</v>
      </c>
      <c r="AD181" s="264">
        <f>NonVoterDebt!I40</f>
        <v>0</v>
      </c>
      <c r="AE181" s="265"/>
      <c r="AF181" s="264">
        <f>BuildFund!I46</f>
        <v>0</v>
      </c>
      <c r="AG181" s="265"/>
      <c r="AH181" s="264">
        <f>SpecBuild!I33</f>
        <v>0</v>
      </c>
      <c r="AI181" s="265"/>
      <c r="AJ181" s="264">
        <f>CapResCapPrj!I83</f>
        <v>0</v>
      </c>
      <c r="AK181" s="265"/>
      <c r="AL181" s="264">
        <f>OtherEnterprise!I40</f>
        <v>0</v>
      </c>
      <c r="AM181" s="265"/>
      <c r="AN181" s="264">
        <f>FoodServ!I50</f>
        <v>0</v>
      </c>
      <c r="AO181" s="265"/>
      <c r="AP181" s="264">
        <f>OtherInternal!I42</f>
        <v>0</v>
      </c>
      <c r="AQ181" s="265"/>
      <c r="AR181" s="264"/>
      <c r="AS181" s="265"/>
      <c r="AT181" s="265"/>
      <c r="AU181" s="264">
        <f>RiskRelated!I38</f>
        <v>0</v>
      </c>
      <c r="AV181" s="265"/>
      <c r="AW181" s="264">
        <f>'Trust&amp;Agency'!I52</f>
        <v>0</v>
      </c>
      <c r="AX181" s="265"/>
      <c r="AY181" s="264"/>
      <c r="AZ181" s="265"/>
      <c r="BA181" s="264"/>
      <c r="BB181" s="265"/>
      <c r="BC181" s="264">
        <f>PupilActAgency!I53</f>
        <v>0</v>
      </c>
      <c r="BD181" s="265"/>
      <c r="BE181" s="264">
        <f>'Foundation Fund'!I52</f>
        <v>0</v>
      </c>
      <c r="BF181" s="265"/>
      <c r="BG181" s="264"/>
      <c r="BH181" s="265"/>
      <c r="BI181" s="264">
        <f t="shared" si="18"/>
        <v>0</v>
      </c>
      <c r="BJ181" s="268"/>
      <c r="BK181" s="269"/>
      <c r="BL181" s="269"/>
      <c r="BM181" s="270"/>
    </row>
    <row r="182" spans="1:65" s="282" customFormat="1" ht="36" x14ac:dyDescent="0.25">
      <c r="A182" s="258" t="s">
        <v>894</v>
      </c>
      <c r="B182" s="283" t="s">
        <v>930</v>
      </c>
      <c r="C182" s="268"/>
      <c r="D182" s="264">
        <f>GenFundExp2!I545</f>
        <v>0</v>
      </c>
      <c r="E182" s="265"/>
      <c r="F182" s="264"/>
      <c r="G182" s="265"/>
      <c r="H182" s="264"/>
      <c r="I182" s="265"/>
      <c r="J182" s="264"/>
      <c r="K182" s="265"/>
      <c r="L182" s="281"/>
      <c r="M182" s="265"/>
      <c r="N182" s="264"/>
      <c r="O182" s="265"/>
      <c r="P182" s="264"/>
      <c r="Q182" s="265"/>
      <c r="R182" s="264"/>
      <c r="S182" s="265"/>
      <c r="T182" s="264"/>
      <c r="U182" s="265"/>
      <c r="V182" s="264"/>
      <c r="W182" s="265"/>
      <c r="X182" s="264"/>
      <c r="Y182" s="265"/>
      <c r="Z182" s="265"/>
      <c r="AA182" s="264"/>
      <c r="AB182" s="265"/>
      <c r="AC182" s="264"/>
      <c r="AD182" s="264"/>
      <c r="AE182" s="265"/>
      <c r="AF182" s="264"/>
      <c r="AG182" s="265"/>
      <c r="AH182" s="264"/>
      <c r="AI182" s="265"/>
      <c r="AJ182" s="264"/>
      <c r="AK182" s="265"/>
      <c r="AL182" s="264"/>
      <c r="AM182" s="265"/>
      <c r="AN182" s="264"/>
      <c r="AO182" s="265"/>
      <c r="AP182" s="264"/>
      <c r="AQ182" s="265"/>
      <c r="AR182" s="264"/>
      <c r="AS182" s="265"/>
      <c r="AT182" s="265"/>
      <c r="AU182" s="264"/>
      <c r="AV182" s="265"/>
      <c r="AW182" s="264"/>
      <c r="AX182" s="265"/>
      <c r="AY182" s="264"/>
      <c r="AZ182" s="265"/>
      <c r="BA182" s="264"/>
      <c r="BB182" s="265"/>
      <c r="BC182" s="264"/>
      <c r="BD182" s="265"/>
      <c r="BE182" s="264"/>
      <c r="BF182" s="265"/>
      <c r="BG182" s="264"/>
      <c r="BH182" s="265"/>
      <c r="BI182" s="264">
        <f t="shared" si="18"/>
        <v>0</v>
      </c>
      <c r="BJ182" s="268"/>
      <c r="BK182" s="269"/>
      <c r="BL182" s="269"/>
      <c r="BM182" s="270"/>
    </row>
    <row r="183" spans="1:65" s="282" customFormat="1" ht="36" hidden="1" x14ac:dyDescent="0.25">
      <c r="A183" s="684" t="s">
        <v>37</v>
      </c>
      <c r="B183" s="283" t="s">
        <v>930</v>
      </c>
      <c r="C183" s="268"/>
      <c r="D183" s="264">
        <f>GenFundExp2!I547</f>
        <v>0</v>
      </c>
      <c r="E183" s="265"/>
      <c r="F183" s="264"/>
      <c r="G183" s="265"/>
      <c r="H183" s="264"/>
      <c r="I183" s="265"/>
      <c r="J183" s="264"/>
      <c r="K183" s="265"/>
      <c r="L183" s="281"/>
      <c r="M183" s="265"/>
      <c r="N183" s="264"/>
      <c r="O183" s="265"/>
      <c r="P183" s="264"/>
      <c r="Q183" s="265"/>
      <c r="R183" s="264"/>
      <c r="S183" s="265"/>
      <c r="T183" s="264"/>
      <c r="U183" s="265"/>
      <c r="V183" s="264"/>
      <c r="W183" s="265"/>
      <c r="X183" s="264"/>
      <c r="Y183" s="265"/>
      <c r="Z183" s="265"/>
      <c r="AA183" s="264"/>
      <c r="AB183" s="265"/>
      <c r="AC183" s="264"/>
      <c r="AD183" s="264"/>
      <c r="AE183" s="265"/>
      <c r="AF183" s="264"/>
      <c r="AG183" s="265"/>
      <c r="AH183" s="264"/>
      <c r="AI183" s="265"/>
      <c r="AJ183" s="264"/>
      <c r="AK183" s="265"/>
      <c r="AL183" s="264"/>
      <c r="AM183" s="265"/>
      <c r="AN183" s="264"/>
      <c r="AO183" s="265"/>
      <c r="AP183" s="264"/>
      <c r="AQ183" s="265"/>
      <c r="AR183" s="264"/>
      <c r="AS183" s="265"/>
      <c r="AT183" s="265"/>
      <c r="AU183" s="264"/>
      <c r="AV183" s="265"/>
      <c r="AW183" s="264"/>
      <c r="AX183" s="265"/>
      <c r="AY183" s="264"/>
      <c r="AZ183" s="265"/>
      <c r="BA183" s="264"/>
      <c r="BB183" s="265"/>
      <c r="BC183" s="264"/>
      <c r="BD183" s="265"/>
      <c r="BE183" s="264"/>
      <c r="BF183" s="265"/>
      <c r="BG183" s="264"/>
      <c r="BH183" s="265"/>
      <c r="BI183" s="264">
        <f t="shared" si="18"/>
        <v>0</v>
      </c>
      <c r="BJ183" s="268"/>
      <c r="BK183" s="269"/>
      <c r="BL183" s="269"/>
      <c r="BM183" s="270"/>
    </row>
    <row r="184" spans="1:65" s="282" customFormat="1" ht="36" x14ac:dyDescent="0.25">
      <c r="A184" s="258" t="s">
        <v>1678</v>
      </c>
      <c r="B184" s="283" t="s">
        <v>930</v>
      </c>
      <c r="C184" s="268"/>
      <c r="D184" s="264">
        <f>GenFundExp2!I544</f>
        <v>0</v>
      </c>
      <c r="E184" s="265"/>
      <c r="F184" s="264">
        <f>CharterFundExp2!I544</f>
        <v>0</v>
      </c>
      <c r="G184" s="265"/>
      <c r="H184" s="264">
        <f>InsResv!I43</f>
        <v>0</v>
      </c>
      <c r="I184" s="265"/>
      <c r="J184" s="264">
        <f>'CPP Fund'!I121</f>
        <v>0</v>
      </c>
      <c r="K184" s="265"/>
      <c r="L184" s="281">
        <f>ARRAGrants!J175</f>
        <v>0</v>
      </c>
      <c r="M184" s="265"/>
      <c r="N184" s="264">
        <f>CapRes!I75</f>
        <v>0</v>
      </c>
      <c r="O184" s="265"/>
      <c r="P184" s="264">
        <f>GovGrants!J175</f>
        <v>0</v>
      </c>
      <c r="Q184" s="265"/>
      <c r="R184" s="264">
        <f>PupActiv!I61</f>
        <v>0</v>
      </c>
      <c r="S184" s="265"/>
      <c r="T184" s="264">
        <f>FullDayKOverride!I42</f>
        <v>0</v>
      </c>
      <c r="U184" s="265"/>
      <c r="V184" s="264">
        <f>Transp!I41</f>
        <v>0</v>
      </c>
      <c r="W184" s="265"/>
      <c r="X184" s="264">
        <f>OthSpecRev!I63</f>
        <v>0</v>
      </c>
      <c r="Y184" s="265"/>
      <c r="Z184" s="265"/>
      <c r="AA184" s="264"/>
      <c r="AB184" s="265"/>
      <c r="AC184" s="264"/>
      <c r="AD184" s="264"/>
      <c r="AE184" s="265"/>
      <c r="AF184" s="264">
        <f>BuildFund!I47</f>
        <v>0</v>
      </c>
      <c r="AG184" s="265"/>
      <c r="AH184" s="264">
        <f>SpecBuild!I34</f>
        <v>0</v>
      </c>
      <c r="AI184" s="265"/>
      <c r="AJ184" s="264">
        <f>CapResCapPrj!I84</f>
        <v>0</v>
      </c>
      <c r="AK184" s="265"/>
      <c r="AL184" s="264">
        <f>OtherEnterprise!I41</f>
        <v>0</v>
      </c>
      <c r="AM184" s="265"/>
      <c r="AN184" s="264">
        <f>FoodServ!I51</f>
        <v>0</v>
      </c>
      <c r="AO184" s="265"/>
      <c r="AP184" s="264">
        <f>OtherInternal!I43</f>
        <v>0</v>
      </c>
      <c r="AQ184" s="265"/>
      <c r="AR184" s="264"/>
      <c r="AS184" s="265"/>
      <c r="AT184" s="265"/>
      <c r="AU184" s="264">
        <f>RiskRelated!I39</f>
        <v>0</v>
      </c>
      <c r="AV184" s="265"/>
      <c r="AW184" s="264"/>
      <c r="AX184" s="265"/>
      <c r="AY184" s="264"/>
      <c r="AZ184" s="265"/>
      <c r="BA184" s="264"/>
      <c r="BB184" s="265"/>
      <c r="BC184" s="264"/>
      <c r="BD184" s="265"/>
      <c r="BE184" s="264"/>
      <c r="BF184" s="265"/>
      <c r="BG184" s="264"/>
      <c r="BH184" s="265"/>
      <c r="BI184" s="264">
        <f t="shared" si="18"/>
        <v>0</v>
      </c>
      <c r="BJ184" s="268"/>
      <c r="BK184" s="269"/>
      <c r="BL184" s="269"/>
      <c r="BM184" s="270"/>
    </row>
    <row r="185" spans="1:65" s="282" customFormat="1" ht="36.75" thickBot="1" x14ac:dyDescent="0.3">
      <c r="A185" s="258" t="s">
        <v>1679</v>
      </c>
      <c r="B185" s="283" t="s">
        <v>930</v>
      </c>
      <c r="C185" s="265"/>
      <c r="D185" s="264">
        <f>GenFundExp2!I546</f>
        <v>0</v>
      </c>
      <c r="E185" s="265"/>
      <c r="F185" s="264">
        <f>CharterFundExp2!I545</f>
        <v>0</v>
      </c>
      <c r="G185" s="265"/>
      <c r="H185" s="264">
        <f>InsResv!I44</f>
        <v>0</v>
      </c>
      <c r="I185" s="265"/>
      <c r="J185" s="264">
        <f>'CPP Fund'!I122</f>
        <v>0</v>
      </c>
      <c r="K185" s="265"/>
      <c r="L185" s="281">
        <f>ARRAGrants!J176</f>
        <v>0</v>
      </c>
      <c r="M185" s="265"/>
      <c r="N185" s="264">
        <f>CapRes!I76</f>
        <v>0</v>
      </c>
      <c r="O185" s="265"/>
      <c r="P185" s="264">
        <f>GovGrants!J176</f>
        <v>0</v>
      </c>
      <c r="Q185" s="265"/>
      <c r="R185" s="264">
        <f>PupActiv!I62</f>
        <v>0</v>
      </c>
      <c r="S185" s="265"/>
      <c r="T185" s="264">
        <f>FullDayKOverride!I43</f>
        <v>0</v>
      </c>
      <c r="U185" s="265"/>
      <c r="V185" s="264">
        <f>Transp!I42</f>
        <v>0</v>
      </c>
      <c r="W185" s="265"/>
      <c r="X185" s="264">
        <f>OthSpecRev!I64</f>
        <v>0</v>
      </c>
      <c r="Y185" s="265"/>
      <c r="Z185" s="265"/>
      <c r="AA185" s="264"/>
      <c r="AB185" s="265"/>
      <c r="AC185" s="264">
        <f>BondRedm!I41</f>
        <v>0</v>
      </c>
      <c r="AD185" s="264">
        <f>NonVoterDebt!I41</f>
        <v>0</v>
      </c>
      <c r="AE185" s="265"/>
      <c r="AF185" s="264">
        <f>BuildFund!I48</f>
        <v>0</v>
      </c>
      <c r="AG185" s="265"/>
      <c r="AH185" s="264">
        <f>SpecBuild!I35</f>
        <v>0</v>
      </c>
      <c r="AI185" s="265"/>
      <c r="AJ185" s="264">
        <f>CapResCapPrj!I85</f>
        <v>0</v>
      </c>
      <c r="AK185" s="265"/>
      <c r="AL185" s="264">
        <f>OtherEnterprise!I42</f>
        <v>0</v>
      </c>
      <c r="AM185" s="265"/>
      <c r="AN185" s="264">
        <f>FoodServ!I52</f>
        <v>0</v>
      </c>
      <c r="AO185" s="265"/>
      <c r="AP185" s="264">
        <f>OtherInternal!I44</f>
        <v>0</v>
      </c>
      <c r="AQ185" s="265"/>
      <c r="AR185" s="264"/>
      <c r="AS185" s="265"/>
      <c r="AT185" s="265"/>
      <c r="AU185" s="264">
        <f>RiskRelated!I40</f>
        <v>0</v>
      </c>
      <c r="AV185" s="265"/>
      <c r="AW185" s="264">
        <f>'Trust&amp;Agency'!I53</f>
        <v>0</v>
      </c>
      <c r="AX185" s="265"/>
      <c r="AY185" s="264"/>
      <c r="AZ185" s="265"/>
      <c r="BA185" s="264"/>
      <c r="BB185" s="265"/>
      <c r="BC185" s="264">
        <f>PupilActAgency!I54</f>
        <v>0</v>
      </c>
      <c r="BD185" s="265"/>
      <c r="BE185" s="264">
        <f>'Foundation Fund'!I53</f>
        <v>0</v>
      </c>
      <c r="BF185" s="265"/>
      <c r="BG185" s="264"/>
      <c r="BH185" s="265"/>
      <c r="BI185" s="264">
        <f t="shared" si="18"/>
        <v>0</v>
      </c>
      <c r="BJ185" s="265"/>
      <c r="BK185" s="269"/>
      <c r="BL185" s="269"/>
      <c r="BM185" s="270"/>
    </row>
    <row r="186" spans="1:65" s="282" customFormat="1" ht="18.75" thickBot="1" x14ac:dyDescent="0.3">
      <c r="A186" s="271" t="s">
        <v>932</v>
      </c>
      <c r="B186" s="279"/>
      <c r="C186" s="275"/>
      <c r="D186" s="274">
        <f>SUM(D179:D185)</f>
        <v>0</v>
      </c>
      <c r="E186" s="275"/>
      <c r="F186" s="274">
        <f>SUM(F179:F185)</f>
        <v>0</v>
      </c>
      <c r="G186" s="275"/>
      <c r="H186" s="274">
        <f>SUM(H179:H185)</f>
        <v>0</v>
      </c>
      <c r="I186" s="275"/>
      <c r="J186" s="274">
        <f>SUM(J179:J185)</f>
        <v>0</v>
      </c>
      <c r="K186" s="275"/>
      <c r="L186" s="274">
        <f>SUM(L179:L185)</f>
        <v>0</v>
      </c>
      <c r="M186" s="275"/>
      <c r="N186" s="274">
        <f>SUM(N179:N185)</f>
        <v>0</v>
      </c>
      <c r="O186" s="275"/>
      <c r="P186" s="274">
        <f>SUM(P179:P185)</f>
        <v>0</v>
      </c>
      <c r="Q186" s="275"/>
      <c r="R186" s="274">
        <f>SUM(R179:R185)</f>
        <v>0</v>
      </c>
      <c r="S186" s="275"/>
      <c r="T186" s="274">
        <f>SUM(T179:T185)</f>
        <v>0</v>
      </c>
      <c r="U186" s="275"/>
      <c r="V186" s="274">
        <f>SUM(V179:V185)</f>
        <v>0</v>
      </c>
      <c r="W186" s="275"/>
      <c r="X186" s="274">
        <f>SUM(X179:X185)</f>
        <v>0</v>
      </c>
      <c r="Y186" s="275"/>
      <c r="Z186" s="275"/>
      <c r="AA186" s="274">
        <f>SUM(AA179:AA185)</f>
        <v>0</v>
      </c>
      <c r="AB186" s="275"/>
      <c r="AC186" s="274">
        <f>SUM(AC179:AC185)</f>
        <v>0</v>
      </c>
      <c r="AD186" s="274">
        <f>SUM(AD179:AD185)</f>
        <v>0</v>
      </c>
      <c r="AE186" s="275"/>
      <c r="AF186" s="274">
        <f>SUM(AF179:AF185)</f>
        <v>0</v>
      </c>
      <c r="AG186" s="275"/>
      <c r="AH186" s="274">
        <f>SUM(AH179:AH185)</f>
        <v>0</v>
      </c>
      <c r="AI186" s="275"/>
      <c r="AJ186" s="274">
        <f>SUM(AJ179:AJ185)</f>
        <v>0</v>
      </c>
      <c r="AK186" s="275"/>
      <c r="AL186" s="274">
        <f>SUM(AL179:AL185)</f>
        <v>0</v>
      </c>
      <c r="AM186" s="275"/>
      <c r="AN186" s="274">
        <f>SUM(AN179:AN185)</f>
        <v>0</v>
      </c>
      <c r="AO186" s="275"/>
      <c r="AP186" s="274">
        <f>SUM(AP179:AP185)</f>
        <v>0</v>
      </c>
      <c r="AQ186" s="275"/>
      <c r="AR186" s="274">
        <f>SUM(AR179:AR185)</f>
        <v>0</v>
      </c>
      <c r="AS186" s="275"/>
      <c r="AT186" s="275"/>
      <c r="AU186" s="274">
        <f>SUM(AU179:AU185)</f>
        <v>0</v>
      </c>
      <c r="AV186" s="275"/>
      <c r="AW186" s="274">
        <f>SUM(AW179:AW185)</f>
        <v>0</v>
      </c>
      <c r="AX186" s="275"/>
      <c r="AY186" s="274">
        <f>SUM(AY179:AY185)</f>
        <v>0</v>
      </c>
      <c r="AZ186" s="275"/>
      <c r="BA186" s="274">
        <f>SUM(BA179:BA185)</f>
        <v>0</v>
      </c>
      <c r="BB186" s="275"/>
      <c r="BC186" s="274">
        <f>SUM(BC179:BC185)</f>
        <v>0</v>
      </c>
      <c r="BD186" s="275"/>
      <c r="BE186" s="274">
        <f>SUM(BE179:BE185)</f>
        <v>0</v>
      </c>
      <c r="BF186" s="275"/>
      <c r="BG186" s="274">
        <f>SUM(BG179:BG185)</f>
        <v>0</v>
      </c>
      <c r="BH186" s="275"/>
      <c r="BI186" s="274">
        <f t="shared" si="18"/>
        <v>0</v>
      </c>
      <c r="BJ186" s="275"/>
      <c r="BK186" s="276"/>
      <c r="BL186" s="276"/>
      <c r="BM186" s="270"/>
    </row>
    <row r="187" spans="1:65" s="282" customFormat="1" ht="18.75" thickBot="1" x14ac:dyDescent="0.3">
      <c r="A187" s="246"/>
      <c r="B187" s="262"/>
      <c r="C187" s="284"/>
      <c r="D187" s="264"/>
      <c r="E187" s="265"/>
      <c r="F187" s="264"/>
      <c r="G187" s="265"/>
      <c r="H187" s="264"/>
      <c r="I187" s="265"/>
      <c r="J187" s="264"/>
      <c r="K187" s="265"/>
      <c r="L187" s="281"/>
      <c r="M187" s="265"/>
      <c r="N187" s="264"/>
      <c r="O187" s="265"/>
      <c r="P187" s="264"/>
      <c r="Q187" s="265"/>
      <c r="R187" s="264"/>
      <c r="S187" s="265"/>
      <c r="T187" s="264"/>
      <c r="U187" s="265"/>
      <c r="V187" s="264"/>
      <c r="W187" s="265"/>
      <c r="X187" s="264"/>
      <c r="Y187" s="265"/>
      <c r="Z187" s="265"/>
      <c r="AA187" s="264"/>
      <c r="AB187" s="265"/>
      <c r="AC187" s="264"/>
      <c r="AD187" s="264"/>
      <c r="AE187" s="265"/>
      <c r="AF187" s="264"/>
      <c r="AG187" s="265"/>
      <c r="AH187" s="264"/>
      <c r="AI187" s="265"/>
      <c r="AJ187" s="264"/>
      <c r="AK187" s="265"/>
      <c r="AL187" s="264"/>
      <c r="AM187" s="265"/>
      <c r="AN187" s="264"/>
      <c r="AO187" s="265"/>
      <c r="AP187" s="264"/>
      <c r="AQ187" s="265"/>
      <c r="AR187" s="264"/>
      <c r="AS187" s="265"/>
      <c r="AT187" s="265"/>
      <c r="AU187" s="264"/>
      <c r="AV187" s="265"/>
      <c r="AW187" s="264"/>
      <c r="AX187" s="265"/>
      <c r="AY187" s="264"/>
      <c r="AZ187" s="265"/>
      <c r="BA187" s="264"/>
      <c r="BB187" s="265"/>
      <c r="BC187" s="264"/>
      <c r="BD187" s="265"/>
      <c r="BE187" s="264"/>
      <c r="BF187" s="265"/>
      <c r="BG187" s="264"/>
      <c r="BH187" s="265"/>
      <c r="BI187" s="264"/>
      <c r="BJ187" s="284"/>
      <c r="BK187" s="269"/>
      <c r="BL187" s="269"/>
      <c r="BM187" s="270"/>
    </row>
    <row r="188" spans="1:65" s="282" customFormat="1" ht="36.75" thickBot="1" x14ac:dyDescent="0.3">
      <c r="A188" s="271" t="s">
        <v>933</v>
      </c>
      <c r="B188" s="279"/>
      <c r="C188" s="275"/>
      <c r="D188" s="274">
        <f>D176+D186</f>
        <v>0</v>
      </c>
      <c r="E188" s="275"/>
      <c r="F188" s="274">
        <f>F176+F186</f>
        <v>0</v>
      </c>
      <c r="G188" s="275"/>
      <c r="H188" s="274">
        <f>H176+H186</f>
        <v>0</v>
      </c>
      <c r="I188" s="275"/>
      <c r="J188" s="274">
        <f>J176+J186</f>
        <v>0</v>
      </c>
      <c r="K188" s="275"/>
      <c r="L188" s="274">
        <f>L176+L186</f>
        <v>0</v>
      </c>
      <c r="M188" s="275"/>
      <c r="N188" s="274">
        <f>N176+N186</f>
        <v>0</v>
      </c>
      <c r="O188" s="275"/>
      <c r="P188" s="274">
        <f>P176+P186</f>
        <v>0</v>
      </c>
      <c r="Q188" s="275"/>
      <c r="R188" s="274">
        <f>R176+R186</f>
        <v>0</v>
      </c>
      <c r="S188" s="275"/>
      <c r="T188" s="274">
        <f>T176+T186</f>
        <v>0</v>
      </c>
      <c r="U188" s="275"/>
      <c r="V188" s="274">
        <f>V176+V186</f>
        <v>0</v>
      </c>
      <c r="W188" s="275"/>
      <c r="X188" s="274">
        <f>X176+X186</f>
        <v>0</v>
      </c>
      <c r="Y188" s="275"/>
      <c r="Z188" s="275"/>
      <c r="AA188" s="274">
        <f>AA176+AA186</f>
        <v>0</v>
      </c>
      <c r="AB188" s="275"/>
      <c r="AC188" s="274">
        <f>AC176+AC186</f>
        <v>0</v>
      </c>
      <c r="AD188" s="274">
        <f>AD176+AD186</f>
        <v>0</v>
      </c>
      <c r="AE188" s="275"/>
      <c r="AF188" s="274">
        <f>AF176+AF186</f>
        <v>0</v>
      </c>
      <c r="AG188" s="275"/>
      <c r="AH188" s="274">
        <f>AH176+AH186</f>
        <v>0</v>
      </c>
      <c r="AI188" s="275"/>
      <c r="AJ188" s="274">
        <f>AJ176+AJ186</f>
        <v>0</v>
      </c>
      <c r="AK188" s="275"/>
      <c r="AL188" s="274">
        <f>AL176+AL186</f>
        <v>0</v>
      </c>
      <c r="AM188" s="275"/>
      <c r="AN188" s="274">
        <f>AN176+AN186</f>
        <v>0</v>
      </c>
      <c r="AO188" s="275"/>
      <c r="AP188" s="274">
        <f>AP176+AP186</f>
        <v>0</v>
      </c>
      <c r="AQ188" s="275"/>
      <c r="AR188" s="274">
        <f>AR176+AR186</f>
        <v>0</v>
      </c>
      <c r="AS188" s="275"/>
      <c r="AT188" s="275"/>
      <c r="AU188" s="274">
        <f>AU176+AU186</f>
        <v>0</v>
      </c>
      <c r="AV188" s="275"/>
      <c r="AW188" s="274">
        <f>AW176+AW186</f>
        <v>0</v>
      </c>
      <c r="AX188" s="275"/>
      <c r="AY188" s="274">
        <f>AY176+AY186</f>
        <v>0</v>
      </c>
      <c r="AZ188" s="275"/>
      <c r="BA188" s="274">
        <f>BA176+BA186</f>
        <v>0</v>
      </c>
      <c r="BB188" s="275"/>
      <c r="BC188" s="274">
        <f>BC176+BC186</f>
        <v>0</v>
      </c>
      <c r="BD188" s="275"/>
      <c r="BE188" s="274">
        <f>BE176+BE186</f>
        <v>0</v>
      </c>
      <c r="BF188" s="275"/>
      <c r="BG188" s="274">
        <f>BG176+BG186</f>
        <v>0</v>
      </c>
      <c r="BH188" s="275"/>
      <c r="BI188" s="274">
        <f>D188+F188+H188+J188+X188+N188+P188+R188+L188+T188+V188+AA188+AC188+AD188+AF188+AH188+AJ188+AL188+AN188+AP188+AR188+AU188+AW188+AY188+BA188+BC188+BE188+BG188</f>
        <v>0</v>
      </c>
      <c r="BJ188" s="275"/>
      <c r="BK188" s="276"/>
      <c r="BL188" s="276"/>
      <c r="BM188" s="270"/>
    </row>
    <row r="189" spans="1:65" s="282" customFormat="1" ht="18" x14ac:dyDescent="0.25">
      <c r="A189" s="246"/>
      <c r="B189" s="262"/>
      <c r="C189" s="266"/>
      <c r="D189" s="264"/>
      <c r="E189" s="265"/>
      <c r="F189" s="264"/>
      <c r="G189" s="265"/>
      <c r="H189" s="264"/>
      <c r="I189" s="265"/>
      <c r="J189" s="264"/>
      <c r="K189" s="265"/>
      <c r="L189" s="281"/>
      <c r="M189" s="265"/>
      <c r="N189" s="264"/>
      <c r="O189" s="265"/>
      <c r="P189" s="264"/>
      <c r="Q189" s="265"/>
      <c r="R189" s="264"/>
      <c r="S189" s="265"/>
      <c r="T189" s="264"/>
      <c r="U189" s="265"/>
      <c r="V189" s="264"/>
      <c r="W189" s="265"/>
      <c r="X189" s="264"/>
      <c r="Y189" s="265"/>
      <c r="Z189" s="265"/>
      <c r="AA189" s="264"/>
      <c r="AB189" s="265"/>
      <c r="AC189" s="264"/>
      <c r="AD189" s="264"/>
      <c r="AE189" s="265"/>
      <c r="AF189" s="264"/>
      <c r="AG189" s="265"/>
      <c r="AH189" s="264"/>
      <c r="AI189" s="265"/>
      <c r="AJ189" s="264"/>
      <c r="AK189" s="265"/>
      <c r="AL189" s="264"/>
      <c r="AM189" s="265"/>
      <c r="AN189" s="264"/>
      <c r="AO189" s="265"/>
      <c r="AP189" s="264"/>
      <c r="AQ189" s="265"/>
      <c r="AR189" s="264"/>
      <c r="AS189" s="265"/>
      <c r="AT189" s="265"/>
      <c r="AU189" s="264"/>
      <c r="AV189" s="265"/>
      <c r="AW189" s="264"/>
      <c r="AX189" s="265"/>
      <c r="AY189" s="264"/>
      <c r="AZ189" s="265"/>
      <c r="BA189" s="264"/>
      <c r="BB189" s="265"/>
      <c r="BC189" s="264"/>
      <c r="BD189" s="265"/>
      <c r="BE189" s="264"/>
      <c r="BF189" s="265"/>
      <c r="BG189" s="264"/>
      <c r="BH189" s="265"/>
      <c r="BI189" s="264"/>
      <c r="BJ189" s="266"/>
      <c r="BK189" s="269"/>
      <c r="BL189" s="269"/>
      <c r="BM189" s="270"/>
    </row>
    <row r="190" spans="1:65" s="282" customFormat="1" ht="36" x14ac:dyDescent="0.25">
      <c r="A190" s="246" t="s">
        <v>934</v>
      </c>
      <c r="B190" s="262"/>
      <c r="C190" s="266"/>
      <c r="D190" s="264">
        <f>GenFundExp2!I556</f>
        <v>0</v>
      </c>
      <c r="E190" s="265"/>
      <c r="F190" s="264">
        <f>CharterFundExp2!I554</f>
        <v>0</v>
      </c>
      <c r="G190" s="265"/>
      <c r="H190" s="264">
        <v>0</v>
      </c>
      <c r="I190" s="265"/>
      <c r="J190" s="264">
        <v>0</v>
      </c>
      <c r="K190" s="265"/>
      <c r="L190" s="281">
        <v>0</v>
      </c>
      <c r="M190" s="265"/>
      <c r="N190" s="264">
        <v>0</v>
      </c>
      <c r="O190" s="265"/>
      <c r="P190" s="264">
        <v>0</v>
      </c>
      <c r="Q190" s="265"/>
      <c r="R190" s="264">
        <v>0</v>
      </c>
      <c r="S190" s="265"/>
      <c r="T190" s="264">
        <v>0</v>
      </c>
      <c r="U190" s="265"/>
      <c r="V190" s="264">
        <v>0</v>
      </c>
      <c r="W190" s="265"/>
      <c r="X190" s="264">
        <v>0</v>
      </c>
      <c r="Y190" s="265"/>
      <c r="Z190" s="265"/>
      <c r="AA190" s="264">
        <v>0</v>
      </c>
      <c r="AB190" s="265"/>
      <c r="AC190" s="264">
        <v>0</v>
      </c>
      <c r="AD190" s="264">
        <v>0</v>
      </c>
      <c r="AE190" s="265"/>
      <c r="AF190" s="264">
        <v>0</v>
      </c>
      <c r="AG190" s="265"/>
      <c r="AH190" s="264">
        <v>0</v>
      </c>
      <c r="AI190" s="265"/>
      <c r="AJ190" s="264">
        <v>0</v>
      </c>
      <c r="AK190" s="265"/>
      <c r="AL190" s="264">
        <v>0</v>
      </c>
      <c r="AM190" s="265"/>
      <c r="AN190" s="264">
        <v>0</v>
      </c>
      <c r="AO190" s="265"/>
      <c r="AP190" s="264">
        <v>0</v>
      </c>
      <c r="AQ190" s="265"/>
      <c r="AR190" s="264">
        <v>0</v>
      </c>
      <c r="AS190" s="265"/>
      <c r="AT190" s="265"/>
      <c r="AU190" s="264">
        <v>0</v>
      </c>
      <c r="AV190" s="265"/>
      <c r="AW190" s="264">
        <v>0</v>
      </c>
      <c r="AX190" s="265"/>
      <c r="AY190" s="264">
        <v>0</v>
      </c>
      <c r="AZ190" s="265"/>
      <c r="BA190" s="264">
        <v>0</v>
      </c>
      <c r="BB190" s="265"/>
      <c r="BC190" s="264">
        <v>0</v>
      </c>
      <c r="BD190" s="265"/>
      <c r="BE190" s="264">
        <v>0</v>
      </c>
      <c r="BF190" s="265"/>
      <c r="BG190" s="656">
        <f>Arbitrage!G35</f>
        <v>0</v>
      </c>
      <c r="BH190" s="265"/>
      <c r="BI190" s="264">
        <f>D190+F190+H190+J190+X190+N190+P190+R190+L190+T190+V190+AA190+AC190+AD190+AF190+AH190+AJ190+AL190+AN190+AP190+AR190+AU190+AW190+AY190+BA190+BC190+BE190+BG190</f>
        <v>0</v>
      </c>
      <c r="BJ190" s="266"/>
      <c r="BK190" s="269"/>
      <c r="BL190" s="269"/>
      <c r="BM190" s="270"/>
    </row>
    <row r="191" spans="1:65" s="282" customFormat="1" ht="18.75" thickBot="1" x14ac:dyDescent="0.3">
      <c r="A191" s="258"/>
      <c r="B191" s="259"/>
      <c r="C191" s="284"/>
      <c r="D191" s="281"/>
      <c r="E191" s="265"/>
      <c r="F191" s="281"/>
      <c r="G191" s="265"/>
      <c r="H191" s="281"/>
      <c r="I191" s="265"/>
      <c r="J191" s="281"/>
      <c r="K191" s="265"/>
      <c r="L191" s="281"/>
      <c r="M191" s="265"/>
      <c r="N191" s="281"/>
      <c r="O191" s="265"/>
      <c r="P191" s="281"/>
      <c r="Q191" s="265"/>
      <c r="R191" s="281"/>
      <c r="S191" s="265"/>
      <c r="T191" s="281"/>
      <c r="U191" s="265"/>
      <c r="V191" s="281"/>
      <c r="W191" s="265"/>
      <c r="X191" s="281"/>
      <c r="Y191" s="265"/>
      <c r="Z191" s="265"/>
      <c r="AA191" s="281"/>
      <c r="AB191" s="265"/>
      <c r="AC191" s="281"/>
      <c r="AD191" s="281"/>
      <c r="AE191" s="265"/>
      <c r="AF191" s="281"/>
      <c r="AG191" s="265"/>
      <c r="AH191" s="281"/>
      <c r="AI191" s="265"/>
      <c r="AJ191" s="281"/>
      <c r="AK191" s="265"/>
      <c r="AL191" s="281"/>
      <c r="AM191" s="265"/>
      <c r="AN191" s="281"/>
      <c r="AO191" s="265"/>
      <c r="AP191" s="281"/>
      <c r="AQ191" s="265"/>
      <c r="AR191" s="281"/>
      <c r="AS191" s="265"/>
      <c r="AT191" s="265"/>
      <c r="AU191" s="281"/>
      <c r="AV191" s="265"/>
      <c r="AW191" s="281"/>
      <c r="AX191" s="265"/>
      <c r="AY191" s="281"/>
      <c r="AZ191" s="265"/>
      <c r="BA191" s="281"/>
      <c r="BB191" s="265"/>
      <c r="BC191" s="281"/>
      <c r="BD191" s="265"/>
      <c r="BE191" s="281"/>
      <c r="BF191" s="265"/>
      <c r="BG191" s="281"/>
      <c r="BH191" s="265"/>
      <c r="BI191" s="264"/>
      <c r="BJ191" s="284"/>
      <c r="BK191" s="285"/>
      <c r="BL191" s="285"/>
    </row>
    <row r="192" spans="1:65" s="282" customFormat="1" ht="90.75" thickBot="1" x14ac:dyDescent="0.3">
      <c r="A192" s="271" t="s">
        <v>935</v>
      </c>
      <c r="B192" s="279"/>
      <c r="C192" s="275"/>
      <c r="D192" s="274">
        <f>D29-D188-D190</f>
        <v>0</v>
      </c>
      <c r="E192" s="275"/>
      <c r="F192" s="274">
        <f>F29-F188-F190</f>
        <v>0</v>
      </c>
      <c r="G192" s="275"/>
      <c r="H192" s="274">
        <f>H29-H188-H190</f>
        <v>0</v>
      </c>
      <c r="I192" s="275"/>
      <c r="J192" s="274">
        <f>J29-J188-J190</f>
        <v>0</v>
      </c>
      <c r="K192" s="275"/>
      <c r="L192" s="274">
        <f>L29-L188-L190</f>
        <v>0</v>
      </c>
      <c r="M192" s="275"/>
      <c r="N192" s="274">
        <f>N29-N188-N190</f>
        <v>0</v>
      </c>
      <c r="O192" s="275"/>
      <c r="P192" s="274">
        <f>P29-P188-P190</f>
        <v>0</v>
      </c>
      <c r="Q192" s="275"/>
      <c r="R192" s="274">
        <f>R29-R188-R190</f>
        <v>0</v>
      </c>
      <c r="S192" s="275"/>
      <c r="T192" s="274">
        <f>T29-T188-T190</f>
        <v>0</v>
      </c>
      <c r="U192" s="275"/>
      <c r="V192" s="274">
        <f>V29-V188-V190</f>
        <v>0</v>
      </c>
      <c r="W192" s="275"/>
      <c r="X192" s="274">
        <f>X29-X188-X190</f>
        <v>0</v>
      </c>
      <c r="Y192" s="275"/>
      <c r="Z192" s="275"/>
      <c r="AA192" s="274">
        <f>AA29-AA188-AA190</f>
        <v>0</v>
      </c>
      <c r="AB192" s="275"/>
      <c r="AC192" s="274">
        <f>AC29-AC188-AC190</f>
        <v>0</v>
      </c>
      <c r="AD192" s="274">
        <f>AD29-AD188-AD190</f>
        <v>0</v>
      </c>
      <c r="AE192" s="275"/>
      <c r="AF192" s="274">
        <f>AF29-AF188-AF190</f>
        <v>0</v>
      </c>
      <c r="AG192" s="275"/>
      <c r="AH192" s="274">
        <f>AH29-AH188-AH190</f>
        <v>0</v>
      </c>
      <c r="AI192" s="275"/>
      <c r="AJ192" s="274">
        <f>AJ29-AJ188-AJ190</f>
        <v>0</v>
      </c>
      <c r="AK192" s="275"/>
      <c r="AL192" s="274">
        <f>AL29-AL188-AL190</f>
        <v>0</v>
      </c>
      <c r="AM192" s="275"/>
      <c r="AN192" s="274">
        <f>AN29-AN188-AN190</f>
        <v>0</v>
      </c>
      <c r="AO192" s="275"/>
      <c r="AP192" s="274">
        <f>AP29-AP188-AP190</f>
        <v>0</v>
      </c>
      <c r="AQ192" s="275"/>
      <c r="AR192" s="274">
        <f>AR29-AR188-AR190</f>
        <v>0</v>
      </c>
      <c r="AS192" s="275"/>
      <c r="AT192" s="275"/>
      <c r="AU192" s="274">
        <f>AU29-AU188-AU190</f>
        <v>0</v>
      </c>
      <c r="AV192" s="275"/>
      <c r="AW192" s="274">
        <f>AW29-AW188-AW190</f>
        <v>0</v>
      </c>
      <c r="AX192" s="275"/>
      <c r="AY192" s="274">
        <f>AY29-AY188-AY190</f>
        <v>0</v>
      </c>
      <c r="AZ192" s="275"/>
      <c r="BA192" s="274">
        <f>BA29-BA188-BA190</f>
        <v>0</v>
      </c>
      <c r="BB192" s="275"/>
      <c r="BC192" s="274">
        <f>BC29-BC188-BC190</f>
        <v>0</v>
      </c>
      <c r="BD192" s="275"/>
      <c r="BE192" s="274">
        <f>BE29-BE188-BE190</f>
        <v>0</v>
      </c>
      <c r="BF192" s="275"/>
      <c r="BG192" s="274">
        <f>BG29-BG188-BG190</f>
        <v>0</v>
      </c>
      <c r="BH192" s="275"/>
      <c r="BI192" s="274">
        <f>D192+F192+H192+J192+X192+N192+P192+R192+L192+T192+V192+AA192+AC192+AD192+AF192+AH192+AJ192+AL192+AN192+AP192+AR192+AU192+AW192+AY192+BA192+BC192+BE192+BG192</f>
        <v>0</v>
      </c>
      <c r="BJ192" s="275"/>
      <c r="BK192" s="286"/>
      <c r="BL192" s="286"/>
    </row>
    <row r="193" spans="1:65" x14ac:dyDescent="0.2">
      <c r="A193" s="706"/>
      <c r="B193" s="707"/>
      <c r="C193" s="708"/>
      <c r="D193" s="287"/>
      <c r="E193" s="709"/>
      <c r="F193" s="287"/>
      <c r="G193" s="709"/>
      <c r="H193" s="287"/>
      <c r="I193" s="709"/>
      <c r="J193" s="287"/>
      <c r="K193" s="709"/>
      <c r="L193" s="287"/>
      <c r="M193" s="709"/>
      <c r="N193" s="287"/>
      <c r="O193" s="709"/>
      <c r="P193" s="287"/>
      <c r="Q193" s="709"/>
      <c r="R193" s="287"/>
      <c r="S193" s="709"/>
      <c r="T193" s="287"/>
      <c r="U193" s="709"/>
      <c r="V193" s="287"/>
      <c r="W193" s="709"/>
      <c r="X193" s="287"/>
      <c r="Y193" s="709"/>
      <c r="Z193" s="709"/>
      <c r="AA193" s="287"/>
      <c r="AB193" s="709"/>
      <c r="AC193" s="287"/>
      <c r="AD193" s="287"/>
      <c r="AE193" s="709"/>
      <c r="AF193" s="287"/>
      <c r="AG193" s="709"/>
      <c r="AH193" s="287"/>
      <c r="AI193" s="709"/>
      <c r="AJ193" s="287"/>
      <c r="AK193" s="709"/>
      <c r="AL193" s="287"/>
      <c r="AM193" s="709"/>
      <c r="AN193" s="287"/>
      <c r="AO193" s="709"/>
      <c r="AP193" s="287"/>
      <c r="AQ193" s="709"/>
      <c r="AR193" s="287"/>
      <c r="AS193" s="709"/>
      <c r="AT193" s="709"/>
      <c r="AU193" s="287"/>
      <c r="AV193" s="709"/>
      <c r="AW193" s="287"/>
      <c r="AX193" s="709"/>
      <c r="AY193" s="287"/>
      <c r="AZ193" s="709"/>
      <c r="BA193" s="287"/>
      <c r="BB193" s="709"/>
      <c r="BC193" s="287"/>
      <c r="BD193" s="709"/>
      <c r="BE193" s="287"/>
      <c r="BF193" s="709"/>
      <c r="BG193" s="287"/>
      <c r="BH193" s="709"/>
      <c r="BI193" s="288"/>
      <c r="BJ193" s="708"/>
      <c r="BK193" s="710"/>
      <c r="BL193" s="710"/>
      <c r="BM193" s="698"/>
    </row>
    <row r="194" spans="1:65" x14ac:dyDescent="0.2"/>
    <row r="195" spans="1:65" x14ac:dyDescent="0.2"/>
    <row r="196" spans="1:65" hidden="1" x14ac:dyDescent="0.2"/>
  </sheetData>
  <sheetProtection password="CB13" sheet="1" objects="1" scenarios="1" insertColumns="0" insertRows="0" deleteColumns="0" deleteRows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24</vt:i4>
      </vt:variant>
    </vt:vector>
  </HeadingPairs>
  <TitlesOfParts>
    <vt:vector size="75" baseType="lpstr">
      <vt:lpstr>General Instructions</vt:lpstr>
      <vt:lpstr>Page 1 - FY2014-15</vt:lpstr>
      <vt:lpstr>Salary Schedule</vt:lpstr>
      <vt:lpstr>Linked Program Codes</vt:lpstr>
      <vt:lpstr>Staff Details</vt:lpstr>
      <vt:lpstr>GenFundREV</vt:lpstr>
      <vt:lpstr>GenFundExp</vt:lpstr>
      <vt:lpstr>GenFundExp2</vt:lpstr>
      <vt:lpstr>CharterFundRev</vt:lpstr>
      <vt:lpstr>CharterFundExp</vt:lpstr>
      <vt:lpstr>CharterFundExp2</vt:lpstr>
      <vt:lpstr>InsResv</vt:lpstr>
      <vt:lpstr>CPP Fund</vt:lpstr>
      <vt:lpstr>Fund 20 Grants</vt:lpstr>
      <vt:lpstr>ARRAGrants</vt:lpstr>
      <vt:lpstr>CapRes</vt:lpstr>
      <vt:lpstr>Fund 22 Grants</vt:lpstr>
      <vt:lpstr>GovGrants</vt:lpstr>
      <vt:lpstr>PupActiv</vt:lpstr>
      <vt:lpstr>FullDayKOverride</vt:lpstr>
      <vt:lpstr>Transp</vt:lpstr>
      <vt:lpstr>OthSpecRev</vt:lpstr>
      <vt:lpstr>BondRedm</vt:lpstr>
      <vt:lpstr>NonVoterDebt</vt:lpstr>
      <vt:lpstr>BuildFund</vt:lpstr>
      <vt:lpstr>SpecBuild</vt:lpstr>
      <vt:lpstr>CapResCapPrj</vt:lpstr>
      <vt:lpstr>FoodServ</vt:lpstr>
      <vt:lpstr>OtherEnterprise</vt:lpstr>
      <vt:lpstr>RiskRelated</vt:lpstr>
      <vt:lpstr>OtherInternal</vt:lpstr>
      <vt:lpstr>PupilActAgency</vt:lpstr>
      <vt:lpstr>Trust&amp;Agency</vt:lpstr>
      <vt:lpstr>Foundation Fund</vt:lpstr>
      <vt:lpstr>GASB 34 Perm. Fund</vt:lpstr>
      <vt:lpstr>Arbitrage</vt:lpstr>
      <vt:lpstr>District Debt</vt:lpstr>
      <vt:lpstr>AppropRes</vt:lpstr>
      <vt:lpstr>UseofBFBRes</vt:lpstr>
      <vt:lpstr>SupplementalBudget</vt:lpstr>
      <vt:lpstr>CDE-18 Error Report</vt:lpstr>
      <vt:lpstr>Tabor Spending Limitations</vt:lpstr>
      <vt:lpstr>Tabor Property Tax Limitation</vt:lpstr>
      <vt:lpstr>Budget Summary Worksheet</vt:lpstr>
      <vt:lpstr>Budget Summaries 1</vt:lpstr>
      <vt:lpstr>Budget Summaries 2</vt:lpstr>
      <vt:lpstr>Budget Summaries 3</vt:lpstr>
      <vt:lpstr>Budget Summaries 4</vt:lpstr>
      <vt:lpstr>Budget Summaries 5</vt:lpstr>
      <vt:lpstr>Uniform Budget Summary</vt:lpstr>
      <vt:lpstr>Sheet1</vt:lpstr>
      <vt:lpstr>AllowFundHlook</vt:lpstr>
      <vt:lpstr>AllowProg</vt:lpstr>
      <vt:lpstr>CertBen</vt:lpstr>
      <vt:lpstr>CertFund</vt:lpstr>
      <vt:lpstr>CertGrant</vt:lpstr>
      <vt:lpstr>CertObj</vt:lpstr>
      <vt:lpstr>CertProg</vt:lpstr>
      <vt:lpstr>CertSalary</vt:lpstr>
      <vt:lpstr>'Fund 20 Grants'!Fund22Grants</vt:lpstr>
      <vt:lpstr>Fund22Grants</vt:lpstr>
      <vt:lpstr>'Fund 20 Grants'!Print_Area</vt:lpstr>
      <vt:lpstr>'Fund 22 Grants'!Print_Area</vt:lpstr>
      <vt:lpstr>GenFundExp!Print_Area</vt:lpstr>
      <vt:lpstr>ARRAGrants!Print_Titles</vt:lpstr>
      <vt:lpstr>CapRes!Print_Titles</vt:lpstr>
      <vt:lpstr>CapResCapPrj!Print_Titles</vt:lpstr>
      <vt:lpstr>'CPP Fund'!Print_Titles</vt:lpstr>
      <vt:lpstr>FullDayKOverride!Print_Titles</vt:lpstr>
      <vt:lpstr>GenFundExp!Print_Titles</vt:lpstr>
      <vt:lpstr>GenFundExp2!Print_Titles</vt:lpstr>
      <vt:lpstr>GenFundREV!Print_Titles</vt:lpstr>
      <vt:lpstr>GovGrants!Print_Titles</vt:lpstr>
      <vt:lpstr>OthSpecRev!Print_Titles</vt:lpstr>
      <vt:lpstr>Transp!Print_Titles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CDE-18 1999</dc:title>
  <dc:creator>Adam Williams</dc:creator>
  <cp:lastModifiedBy>Lucero, Yolanda (6847)</cp:lastModifiedBy>
  <cp:lastPrinted>2014-04-09T14:27:19Z</cp:lastPrinted>
  <dcterms:created xsi:type="dcterms:W3CDTF">2000-04-11T18:35:43Z</dcterms:created>
  <dcterms:modified xsi:type="dcterms:W3CDTF">2014-04-09T14:40:06Z</dcterms:modified>
</cp:coreProperties>
</file>